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53222"/>
  <mc:AlternateContent xmlns:mc="http://schemas.openxmlformats.org/markup-compatibility/2006">
    <mc:Choice Requires="x15">
      <x15ac:absPath xmlns:x15ac="http://schemas.microsoft.com/office/spreadsheetml/2010/11/ac" url="C:\Users\nertila.kaja\Desktop\nertila snd\"/>
    </mc:Choice>
  </mc:AlternateContent>
  <bookViews>
    <workbookView xWindow="0" yWindow="0" windowWidth="25125" windowHeight="12300"/>
  </bookViews>
  <sheets>
    <sheet name="Kostimi i planit te veprimit" sheetId="2" r:id="rId1"/>
    <sheet name="Totali_Qellimet politike" sheetId="3" r:id="rId2"/>
    <sheet name="Nevojat kapitale" sheetId="18" r:id="rId3"/>
    <sheet name="Grafik Kostot" sheetId="14" r:id="rId4"/>
    <sheet name="Grafik-Ndarja e kostove" sheetId="15" r:id="rId5"/>
    <sheet name="Grafik_ Qellimet e politikave" sheetId="16" r:id="rId6"/>
  </sheets>
  <definedNames>
    <definedName name="_xlnm._FilterDatabase" localSheetId="0" hidden="1">'Kostimi i planit te veprimit'!$E$1:$F$766</definedName>
    <definedName name="_Hlk14952534" localSheetId="2">'Nevojat kapitale'!$C$16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4" i="2" l="1"/>
  <c r="N74" i="2"/>
  <c r="Q74" i="2"/>
  <c r="T74" i="2"/>
  <c r="W74" i="2"/>
  <c r="Z74" i="2"/>
  <c r="AC74" i="2"/>
  <c r="AD74" i="2"/>
  <c r="AE74" i="2"/>
  <c r="AI74" i="2"/>
  <c r="AM74" i="2"/>
  <c r="AP74" i="2"/>
  <c r="AF74" i="2" l="1"/>
  <c r="AQ74" i="2" s="1"/>
  <c r="K49" i="3"/>
  <c r="K50" i="3"/>
  <c r="N19" i="3"/>
  <c r="N20" i="3"/>
  <c r="N22" i="3"/>
  <c r="AH24" i="2"/>
  <c r="AG24" i="2"/>
  <c r="AB24" i="2"/>
  <c r="AA24" i="2"/>
  <c r="Y24" i="2"/>
  <c r="X24" i="2"/>
  <c r="V24" i="2"/>
  <c r="U24" i="2"/>
  <c r="S24" i="2"/>
  <c r="R24" i="2"/>
  <c r="P24" i="2"/>
  <c r="O24" i="2"/>
  <c r="M24" i="2"/>
  <c r="L24" i="2"/>
  <c r="AN178" i="2"/>
  <c r="AN177" i="2"/>
  <c r="AG178" i="2"/>
  <c r="AG177" i="2"/>
  <c r="AA177" i="2"/>
  <c r="X177" i="2"/>
  <c r="U177" i="2"/>
  <c r="R177" i="2"/>
  <c r="O177" i="2"/>
  <c r="L177" i="2"/>
  <c r="I177" i="2"/>
  <c r="AE178" i="2"/>
  <c r="AE177" i="2"/>
  <c r="AE176" i="2"/>
  <c r="AE175" i="2"/>
  <c r="AE173" i="2"/>
  <c r="AE172" i="2"/>
  <c r="AD178" i="2"/>
  <c r="AD176" i="2"/>
  <c r="AD175" i="2"/>
  <c r="AD173" i="2"/>
  <c r="AD172" i="2"/>
  <c r="AN169" i="2"/>
  <c r="AN168" i="2"/>
  <c r="AG169" i="2"/>
  <c r="AG168" i="2"/>
  <c r="AE170" i="2"/>
  <c r="AE169" i="2"/>
  <c r="AE168" i="2"/>
  <c r="AE167" i="2"/>
  <c r="AD170" i="2"/>
  <c r="AD168" i="2"/>
  <c r="AD167" i="2"/>
  <c r="AA169" i="2"/>
  <c r="X169" i="2"/>
  <c r="U169" i="2"/>
  <c r="R169" i="2"/>
  <c r="O169" i="2"/>
  <c r="L169" i="2"/>
  <c r="I169" i="2"/>
  <c r="AG162" i="2"/>
  <c r="AN159" i="2"/>
  <c r="AG159" i="2"/>
  <c r="AE162" i="2"/>
  <c r="AE161" i="2"/>
  <c r="AE159" i="2"/>
  <c r="AE158" i="2"/>
  <c r="AD162" i="2"/>
  <c r="AD161" i="2"/>
  <c r="AD159" i="2"/>
  <c r="AD158" i="2"/>
  <c r="AN156" i="2"/>
  <c r="AG156" i="2"/>
  <c r="AE156" i="2"/>
  <c r="AE155" i="2"/>
  <c r="AE154" i="2"/>
  <c r="AD156" i="2"/>
  <c r="AD155" i="2"/>
  <c r="AD154" i="2"/>
  <c r="AN152" i="2"/>
  <c r="AN151" i="2"/>
  <c r="AG152" i="2"/>
  <c r="AG151" i="2"/>
  <c r="AE152" i="2"/>
  <c r="AE151" i="2"/>
  <c r="AD152" i="2"/>
  <c r="AD151" i="2"/>
  <c r="AN148" i="2"/>
  <c r="AG148" i="2"/>
  <c r="AE149" i="2"/>
  <c r="AE148" i="2"/>
  <c r="AE147" i="2"/>
  <c r="AD149" i="2"/>
  <c r="AD147" i="2"/>
  <c r="AA148" i="2"/>
  <c r="X148" i="2"/>
  <c r="U148" i="2"/>
  <c r="R148" i="2"/>
  <c r="O148" i="2"/>
  <c r="L148" i="2"/>
  <c r="I148" i="2"/>
  <c r="AN145" i="2"/>
  <c r="AG145" i="2"/>
  <c r="AE145" i="2"/>
  <c r="AE144" i="2"/>
  <c r="AD145" i="2"/>
  <c r="AD144" i="2"/>
  <c r="AE142" i="2"/>
  <c r="AE141" i="2"/>
  <c r="AE140" i="2"/>
  <c r="AE139" i="2"/>
  <c r="AD142" i="2"/>
  <c r="AD141" i="2"/>
  <c r="AD140" i="2"/>
  <c r="AD139" i="2"/>
  <c r="AN131" i="2"/>
  <c r="AP131" i="2" s="1"/>
  <c r="AG131" i="2"/>
  <c r="AP132" i="2"/>
  <c r="AM132" i="2"/>
  <c r="AM133" i="2"/>
  <c r="AG132" i="2"/>
  <c r="AI132" i="2" s="1"/>
  <c r="AC132" i="2"/>
  <c r="Z132" i="2"/>
  <c r="W132" i="2"/>
  <c r="T132" i="2"/>
  <c r="Q132" i="2"/>
  <c r="N132" i="2"/>
  <c r="AN134" i="2"/>
  <c r="AP134" i="2" s="1"/>
  <c r="AN133" i="2"/>
  <c r="AP133" i="2" s="1"/>
  <c r="AG134" i="2"/>
  <c r="AG133" i="2"/>
  <c r="AI133" i="2" s="1"/>
  <c r="AE132" i="2"/>
  <c r="AE133" i="2"/>
  <c r="AD132" i="2"/>
  <c r="AD133" i="2"/>
  <c r="AG112" i="2"/>
  <c r="AN112" i="2"/>
  <c r="AN110" i="2"/>
  <c r="AG110" i="2"/>
  <c r="AN111" i="2"/>
  <c r="AG111" i="2"/>
  <c r="AA111" i="2"/>
  <c r="X111" i="2"/>
  <c r="U111" i="2"/>
  <c r="R111" i="2"/>
  <c r="O111" i="2"/>
  <c r="AE112" i="2"/>
  <c r="AE111" i="2"/>
  <c r="AE110" i="2"/>
  <c r="AE109" i="2"/>
  <c r="AE108" i="2"/>
  <c r="AE107" i="2"/>
  <c r="AE106" i="2"/>
  <c r="AE105" i="2"/>
  <c r="AE104" i="2"/>
  <c r="AE103" i="2"/>
  <c r="AD112" i="2"/>
  <c r="AD110" i="2"/>
  <c r="AD109" i="2"/>
  <c r="AD108" i="2"/>
  <c r="AD107" i="2"/>
  <c r="AD106" i="2"/>
  <c r="AD105" i="2"/>
  <c r="AD104" i="2"/>
  <c r="AD103" i="2"/>
  <c r="AE101" i="2"/>
  <c r="AE100" i="2"/>
  <c r="AE99" i="2"/>
  <c r="AE98" i="2"/>
  <c r="AD101" i="2"/>
  <c r="AD100" i="2"/>
  <c r="AD99" i="2"/>
  <c r="AD98" i="2"/>
  <c r="AD96" i="2"/>
  <c r="AD95" i="2"/>
  <c r="AD94" i="2"/>
  <c r="AD93" i="2"/>
  <c r="AE91" i="2"/>
  <c r="AE90" i="2"/>
  <c r="AE89" i="2"/>
  <c r="AE88" i="2"/>
  <c r="AE87" i="2"/>
  <c r="AE86" i="2"/>
  <c r="AE85" i="2"/>
  <c r="AE84" i="2"/>
  <c r="AE83" i="2"/>
  <c r="AD91" i="2"/>
  <c r="AD90" i="2"/>
  <c r="AD89" i="2"/>
  <c r="AD88" i="2"/>
  <c r="AD87" i="2"/>
  <c r="AD86" i="2"/>
  <c r="AD85" i="2"/>
  <c r="AD84" i="2"/>
  <c r="AD83" i="2"/>
  <c r="AE81" i="2"/>
  <c r="AE80" i="2"/>
  <c r="AE79" i="2"/>
  <c r="AE78" i="2"/>
  <c r="AE77" i="2"/>
  <c r="AD81" i="2"/>
  <c r="AD80" i="2"/>
  <c r="AD79" i="2"/>
  <c r="AD78" i="2"/>
  <c r="I77" i="2"/>
  <c r="AD77" i="2" s="1"/>
  <c r="AN71" i="2"/>
  <c r="AN70" i="2"/>
  <c r="AN69" i="2"/>
  <c r="AN68" i="2"/>
  <c r="AN67" i="2"/>
  <c r="AN66" i="2"/>
  <c r="AN65" i="2"/>
  <c r="AG71" i="2"/>
  <c r="AG70" i="2"/>
  <c r="AG69" i="2"/>
  <c r="AG68" i="2"/>
  <c r="AG67" i="2"/>
  <c r="AG66" i="2"/>
  <c r="AG65" i="2"/>
  <c r="AE75" i="2"/>
  <c r="AE73" i="2"/>
  <c r="AE72" i="2"/>
  <c r="AE71" i="2"/>
  <c r="AE70" i="2"/>
  <c r="AE69" i="2"/>
  <c r="AE68" i="2"/>
  <c r="AE67" i="2"/>
  <c r="AE66" i="2"/>
  <c r="AE65" i="2"/>
  <c r="AD75" i="2"/>
  <c r="AD73" i="2"/>
  <c r="AD72" i="2"/>
  <c r="AD71" i="2"/>
  <c r="AD70" i="2"/>
  <c r="AD69" i="2"/>
  <c r="AD68" i="2"/>
  <c r="AD67" i="2"/>
  <c r="AD66" i="2"/>
  <c r="AD65" i="2"/>
  <c r="AE63" i="2"/>
  <c r="AE62" i="2"/>
  <c r="AE61" i="2"/>
  <c r="AE60" i="2"/>
  <c r="AE59" i="2"/>
  <c r="AE58" i="2"/>
  <c r="AE57" i="2"/>
  <c r="AD63" i="2"/>
  <c r="AD62" i="2"/>
  <c r="AD61" i="2"/>
  <c r="AD60" i="2"/>
  <c r="AD59" i="2"/>
  <c r="AD58" i="2"/>
  <c r="AD57" i="2"/>
  <c r="AE55" i="2"/>
  <c r="AE54" i="2"/>
  <c r="AE53" i="2"/>
  <c r="AE52" i="2"/>
  <c r="AE51" i="2"/>
  <c r="AE50" i="2"/>
  <c r="AE49" i="2"/>
  <c r="AD55" i="2"/>
  <c r="AD54" i="2"/>
  <c r="AD53" i="2"/>
  <c r="AD52" i="2"/>
  <c r="AD51" i="2"/>
  <c r="AD50" i="2"/>
  <c r="AD49" i="2"/>
  <c r="AE47" i="2"/>
  <c r="AE46" i="2"/>
  <c r="AE45" i="2"/>
  <c r="AE44" i="2"/>
  <c r="AE43" i="2"/>
  <c r="AE42" i="2"/>
  <c r="AE41" i="2"/>
  <c r="AD47" i="2"/>
  <c r="AD46" i="2"/>
  <c r="AD45" i="2"/>
  <c r="AD44" i="2"/>
  <c r="AD43" i="2"/>
  <c r="AD42" i="2"/>
  <c r="AD41" i="2"/>
  <c r="AE35" i="2"/>
  <c r="AE36" i="2"/>
  <c r="AE37" i="2"/>
  <c r="AE38" i="2"/>
  <c r="AE39" i="2"/>
  <c r="AD35" i="2"/>
  <c r="AD36" i="2"/>
  <c r="AD37" i="2"/>
  <c r="AD38" i="2"/>
  <c r="AD39" i="2"/>
  <c r="AE30" i="2"/>
  <c r="AE31" i="2"/>
  <c r="AD30" i="2"/>
  <c r="AD31" i="2"/>
  <c r="AE19" i="2"/>
  <c r="AE20" i="2"/>
  <c r="AE21" i="2"/>
  <c r="AE22" i="2"/>
  <c r="AE23" i="2"/>
  <c r="AD19" i="2"/>
  <c r="AD20" i="2"/>
  <c r="AD21" i="2"/>
  <c r="AD22" i="2"/>
  <c r="AD23" i="2"/>
  <c r="K19" i="2"/>
  <c r="K20" i="2"/>
  <c r="K21" i="2"/>
  <c r="K22" i="2"/>
  <c r="K23" i="2"/>
  <c r="AN14" i="2"/>
  <c r="AN13" i="2"/>
  <c r="AN12" i="2"/>
  <c r="AG14" i="2"/>
  <c r="AG13" i="2"/>
  <c r="AG12" i="2"/>
  <c r="L15" i="2"/>
  <c r="I15" i="2"/>
  <c r="AN279" i="2"/>
  <c r="AN278" i="2"/>
  <c r="AN277" i="2"/>
  <c r="AG279" i="2"/>
  <c r="AG278" i="2"/>
  <c r="AG277" i="2"/>
  <c r="AN275" i="2"/>
  <c r="AG275" i="2"/>
  <c r="AN274" i="2"/>
  <c r="AG274" i="2"/>
  <c r="AA275" i="2"/>
  <c r="X275" i="2"/>
  <c r="U275" i="2"/>
  <c r="R275" i="2"/>
  <c r="O275" i="2"/>
  <c r="L275" i="2"/>
  <c r="I275" i="2"/>
  <c r="AN272" i="2"/>
  <c r="AG272" i="2"/>
  <c r="AE273" i="2"/>
  <c r="AE274" i="2"/>
  <c r="AD273" i="2"/>
  <c r="AD274" i="2"/>
  <c r="AN269" i="2"/>
  <c r="AG269" i="2"/>
  <c r="AN265" i="2"/>
  <c r="AG263" i="2"/>
  <c r="AN263" i="2"/>
  <c r="AN264" i="2"/>
  <c r="AN262" i="2"/>
  <c r="AN261" i="2"/>
  <c r="AN259" i="2"/>
  <c r="AG265" i="2"/>
  <c r="AG264" i="2"/>
  <c r="AG262" i="2"/>
  <c r="AG261" i="2"/>
  <c r="AG259" i="2"/>
  <c r="AE262" i="2"/>
  <c r="AE263" i="2"/>
  <c r="AE264" i="2"/>
  <c r="AD262" i="2"/>
  <c r="AD263" i="2"/>
  <c r="AA265" i="2"/>
  <c r="AA264" i="2"/>
  <c r="X265" i="2"/>
  <c r="X264" i="2"/>
  <c r="U265" i="2"/>
  <c r="U264" i="2"/>
  <c r="R265" i="2"/>
  <c r="R264" i="2"/>
  <c r="O265" i="2"/>
  <c r="O264" i="2"/>
  <c r="L265" i="2"/>
  <c r="L264" i="2"/>
  <c r="I265" i="2"/>
  <c r="I264" i="2"/>
  <c r="AN257" i="2"/>
  <c r="AN256" i="2"/>
  <c r="AN255" i="2"/>
  <c r="AG256" i="2"/>
  <c r="AG255" i="2"/>
  <c r="AN250" i="2"/>
  <c r="AG250" i="2"/>
  <c r="AA250" i="2"/>
  <c r="X250" i="2"/>
  <c r="U250" i="2"/>
  <c r="R250" i="2"/>
  <c r="O250" i="2"/>
  <c r="L250" i="2"/>
  <c r="I250" i="2"/>
  <c r="AE249" i="2"/>
  <c r="AD249" i="2"/>
  <c r="AG247" i="2"/>
  <c r="AN247" i="2"/>
  <c r="AG245" i="2"/>
  <c r="AN245" i="2"/>
  <c r="L243" i="2"/>
  <c r="AD243" i="2" s="1"/>
  <c r="AE242" i="2"/>
  <c r="AE243" i="2"/>
  <c r="AE244" i="2"/>
  <c r="AD242" i="2"/>
  <c r="AD244" i="2"/>
  <c r="AN238" i="2"/>
  <c r="AG238" i="2"/>
  <c r="AN236" i="2"/>
  <c r="AN235" i="2"/>
  <c r="AG236" i="2"/>
  <c r="AG235" i="2"/>
  <c r="AN229" i="2"/>
  <c r="AN230" i="2"/>
  <c r="AN228" i="2"/>
  <c r="AG229" i="2"/>
  <c r="AG230" i="2"/>
  <c r="AG228" i="2"/>
  <c r="AE229" i="2"/>
  <c r="AD229" i="2"/>
  <c r="AN221" i="2"/>
  <c r="AN220" i="2"/>
  <c r="AG221" i="2"/>
  <c r="AG220" i="2"/>
  <c r="N219" i="2"/>
  <c r="AN214" i="2"/>
  <c r="AG214" i="2"/>
  <c r="AE214" i="2"/>
  <c r="AE213" i="2"/>
  <c r="AD214" i="2"/>
  <c r="AD213" i="2"/>
  <c r="AN211" i="2"/>
  <c r="AN210" i="2"/>
  <c r="AG211" i="2"/>
  <c r="AG210" i="2"/>
  <c r="AE211" i="2"/>
  <c r="AE210" i="2"/>
  <c r="AE209" i="2"/>
  <c r="AE208" i="2"/>
  <c r="AD211" i="2"/>
  <c r="AD210" i="2"/>
  <c r="AD209" i="2"/>
  <c r="AD208" i="2"/>
  <c r="AN206" i="2"/>
  <c r="AN205" i="2"/>
  <c r="AG206" i="2"/>
  <c r="AG205" i="2"/>
  <c r="AN204" i="2"/>
  <c r="AG204" i="2"/>
  <c r="AA204" i="2"/>
  <c r="X204" i="2"/>
  <c r="X201" i="2" s="1"/>
  <c r="U204" i="2"/>
  <c r="R204" i="2"/>
  <c r="O204" i="2"/>
  <c r="L204" i="2"/>
  <c r="I204" i="2"/>
  <c r="J201" i="2"/>
  <c r="AE206" i="2"/>
  <c r="AE205" i="2"/>
  <c r="AE204" i="2"/>
  <c r="AE203" i="2"/>
  <c r="AE202" i="2"/>
  <c r="AD206" i="2"/>
  <c r="AD205" i="2"/>
  <c r="AD203" i="2"/>
  <c r="AD202" i="2"/>
  <c r="Y201" i="2"/>
  <c r="L196" i="2"/>
  <c r="AN195" i="2"/>
  <c r="AG195" i="2"/>
  <c r="AG191" i="2"/>
  <c r="AN191" i="2"/>
  <c r="AN193" i="2"/>
  <c r="AN192" i="2"/>
  <c r="AG193" i="2"/>
  <c r="AG192" i="2"/>
  <c r="AO198" i="2"/>
  <c r="Q18" i="3" s="1"/>
  <c r="AN198" i="2"/>
  <c r="P18" i="3" s="1"/>
  <c r="AN326" i="2"/>
  <c r="AN324" i="2"/>
  <c r="AN323" i="2"/>
  <c r="AG324" i="2"/>
  <c r="AG323" i="2"/>
  <c r="AD323" i="2"/>
  <c r="AD324" i="2"/>
  <c r="AN322" i="2"/>
  <c r="AG322" i="2"/>
  <c r="AN318" i="2"/>
  <c r="AG318" i="2"/>
  <c r="I318" i="2"/>
  <c r="AD318" i="2" s="1"/>
  <c r="AN314" i="2"/>
  <c r="AN313" i="2"/>
  <c r="AN312" i="2"/>
  <c r="AN311" i="2"/>
  <c r="AG312" i="2"/>
  <c r="AG314" i="2"/>
  <c r="AG313" i="2"/>
  <c r="AG311" i="2"/>
  <c r="AE309" i="2"/>
  <c r="AE310" i="2"/>
  <c r="AE311" i="2"/>
  <c r="AE312" i="2"/>
  <c r="AE313" i="2"/>
  <c r="AE314" i="2"/>
  <c r="AE315" i="2"/>
  <c r="AE316" i="2"/>
  <c r="AE317" i="2"/>
  <c r="AE318" i="2"/>
  <c r="AE319" i="2"/>
  <c r="AD317" i="2"/>
  <c r="AD319" i="2"/>
  <c r="AD314" i="2"/>
  <c r="AD315" i="2"/>
  <c r="AD316" i="2"/>
  <c r="AA313" i="2"/>
  <c r="X313" i="2"/>
  <c r="U313" i="2"/>
  <c r="R313" i="2"/>
  <c r="O313" i="2"/>
  <c r="L313" i="2"/>
  <c r="N313" i="2" s="1"/>
  <c r="I313" i="2"/>
  <c r="L309" i="2"/>
  <c r="N309" i="2" s="1"/>
  <c r="N326" i="2"/>
  <c r="N324" i="2"/>
  <c r="N323" i="2"/>
  <c r="N322" i="2"/>
  <c r="N321" i="2"/>
  <c r="N319" i="2"/>
  <c r="N318" i="2"/>
  <c r="N317" i="2"/>
  <c r="N316" i="2"/>
  <c r="N315" i="2"/>
  <c r="N314" i="2"/>
  <c r="N312" i="2"/>
  <c r="N311" i="2"/>
  <c r="N310" i="2"/>
  <c r="N307" i="2"/>
  <c r="N306" i="2"/>
  <c r="N305" i="2"/>
  <c r="N304" i="2"/>
  <c r="AN307" i="2"/>
  <c r="AG307" i="2"/>
  <c r="AE306" i="2"/>
  <c r="O306" i="2"/>
  <c r="AD306" i="2" s="1"/>
  <c r="AN302" i="2"/>
  <c r="AN301" i="2"/>
  <c r="AN300" i="2"/>
  <c r="AG302" i="2"/>
  <c r="AG301" i="2"/>
  <c r="AG300" i="2"/>
  <c r="AE301" i="2"/>
  <c r="AE300" i="2"/>
  <c r="AE302" i="2"/>
  <c r="AD301" i="2"/>
  <c r="AD300" i="2"/>
  <c r="AN298" i="2"/>
  <c r="AG298" i="2"/>
  <c r="I298" i="2"/>
  <c r="AN296" i="2"/>
  <c r="AN295" i="2"/>
  <c r="AG296" i="2"/>
  <c r="AG295" i="2"/>
  <c r="AN293" i="2"/>
  <c r="AG293" i="2"/>
  <c r="I290" i="2"/>
  <c r="AN363" i="2"/>
  <c r="AG363" i="2"/>
  <c r="AN362" i="2"/>
  <c r="AG362" i="2"/>
  <c r="AN359" i="2"/>
  <c r="AG359" i="2"/>
  <c r="AN358" i="2"/>
  <c r="AG358" i="2"/>
  <c r="I358" i="2"/>
  <c r="AN357" i="2"/>
  <c r="AG357" i="2"/>
  <c r="Q352" i="2"/>
  <c r="Q353" i="2"/>
  <c r="Q354" i="2"/>
  <c r="AN352" i="2"/>
  <c r="AG352" i="2"/>
  <c r="AE352" i="2"/>
  <c r="AE353" i="2"/>
  <c r="AE354" i="2"/>
  <c r="AD352" i="2"/>
  <c r="AD353" i="2"/>
  <c r="AD354" i="2"/>
  <c r="AN351" i="2"/>
  <c r="AG351" i="2"/>
  <c r="AN350" i="2"/>
  <c r="AG350" i="2"/>
  <c r="AN346" i="2"/>
  <c r="AG346" i="2"/>
  <c r="L343" i="2"/>
  <c r="AN340" i="2"/>
  <c r="AN341" i="2"/>
  <c r="AN339" i="2"/>
  <c r="AG340" i="2"/>
  <c r="AG341" i="2"/>
  <c r="AG339" i="2"/>
  <c r="AN337" i="2"/>
  <c r="AN336" i="2"/>
  <c r="AG337" i="2"/>
  <c r="AG336" i="2"/>
  <c r="AG334" i="2"/>
  <c r="AN334" i="2"/>
  <c r="AN333" i="2"/>
  <c r="AG333" i="2"/>
  <c r="AN332" i="2"/>
  <c r="AG332" i="2"/>
  <c r="AN398" i="2"/>
  <c r="O398" i="2"/>
  <c r="AE396" i="2"/>
  <c r="AE397" i="2"/>
  <c r="AD396" i="2"/>
  <c r="AD397" i="2"/>
  <c r="AC396" i="2"/>
  <c r="AC397" i="2"/>
  <c r="Z396" i="2"/>
  <c r="Z397" i="2"/>
  <c r="W396" i="2"/>
  <c r="W397" i="2"/>
  <c r="AN393" i="2"/>
  <c r="AG393" i="2"/>
  <c r="AN392" i="2"/>
  <c r="AG392" i="2"/>
  <c r="AD392" i="2"/>
  <c r="AD390" i="2"/>
  <c r="AD391" i="2"/>
  <c r="O389" i="2"/>
  <c r="AD389" i="2" s="1"/>
  <c r="O388" i="2"/>
  <c r="AD388" i="2" s="1"/>
  <c r="AN387" i="2"/>
  <c r="AG387" i="2"/>
  <c r="AE387" i="2"/>
  <c r="AE388" i="2"/>
  <c r="AE389" i="2"/>
  <c r="AE390" i="2"/>
  <c r="AE391" i="2"/>
  <c r="AD387" i="2"/>
  <c r="AN384" i="2"/>
  <c r="AG384" i="2"/>
  <c r="AN383" i="2"/>
  <c r="AG383" i="2"/>
  <c r="AN377" i="2"/>
  <c r="AG377" i="2"/>
  <c r="I377" i="2"/>
  <c r="AD377" i="2" s="1"/>
  <c r="W376" i="2"/>
  <c r="W377" i="2"/>
  <c r="W378" i="2"/>
  <c r="W379" i="2"/>
  <c r="W380" i="2"/>
  <c r="W381" i="2"/>
  <c r="W382" i="2"/>
  <c r="W383" i="2"/>
  <c r="T376" i="2"/>
  <c r="T377" i="2"/>
  <c r="T378" i="2"/>
  <c r="T379" i="2"/>
  <c r="T380" i="2"/>
  <c r="T381" i="2"/>
  <c r="T382" i="2"/>
  <c r="T383" i="2"/>
  <c r="AN375" i="2"/>
  <c r="AG375" i="2"/>
  <c r="T375" i="2"/>
  <c r="W375" i="2"/>
  <c r="AE375" i="2"/>
  <c r="AE376" i="2"/>
  <c r="AE377" i="2"/>
  <c r="AE378" i="2"/>
  <c r="AE379" i="2"/>
  <c r="AE380" i="2"/>
  <c r="AE381" i="2"/>
  <c r="AE382" i="2"/>
  <c r="AE383" i="2"/>
  <c r="AE384" i="2"/>
  <c r="AD375" i="2"/>
  <c r="AD376" i="2"/>
  <c r="AD378" i="2"/>
  <c r="AD379" i="2"/>
  <c r="AD380" i="2"/>
  <c r="AD381" i="2"/>
  <c r="AD382" i="2"/>
  <c r="AD383" i="2"/>
  <c r="AD384" i="2"/>
  <c r="AN374" i="2"/>
  <c r="AG374" i="2"/>
  <c r="AG372" i="2"/>
  <c r="AN372" i="2"/>
  <c r="L370" i="2"/>
  <c r="AE371" i="2"/>
  <c r="AD371" i="2"/>
  <c r="L368" i="2"/>
  <c r="AE424" i="2"/>
  <c r="AE423" i="2"/>
  <c r="AE422" i="2"/>
  <c r="AD424" i="2"/>
  <c r="AD423" i="2"/>
  <c r="AD422" i="2"/>
  <c r="AN419" i="2"/>
  <c r="AJ419" i="2"/>
  <c r="AH419" i="2"/>
  <c r="AI420" i="2"/>
  <c r="AO419" i="2"/>
  <c r="AK419" i="2"/>
  <c r="AG419" i="2"/>
  <c r="AA419" i="2"/>
  <c r="Y419" i="2"/>
  <c r="X419" i="2"/>
  <c r="V419" i="2"/>
  <c r="U419" i="2"/>
  <c r="L419" i="2"/>
  <c r="S419" i="2"/>
  <c r="R419" i="2"/>
  <c r="P419" i="2"/>
  <c r="O419" i="2"/>
  <c r="M419" i="2"/>
  <c r="J419" i="2"/>
  <c r="I419" i="2"/>
  <c r="AN414" i="2"/>
  <c r="AG414" i="2"/>
  <c r="AN418" i="2"/>
  <c r="AG418" i="2"/>
  <c r="AE415" i="2"/>
  <c r="AE416" i="2"/>
  <c r="AE417" i="2"/>
  <c r="AE418" i="2"/>
  <c r="AD415" i="2"/>
  <c r="AD416" i="2"/>
  <c r="AD417" i="2"/>
  <c r="AD418" i="2"/>
  <c r="AN412" i="2"/>
  <c r="AG412" i="2"/>
  <c r="AN410" i="2"/>
  <c r="AG410" i="2"/>
  <c r="AE404" i="2"/>
  <c r="AE405" i="2"/>
  <c r="AE406" i="2"/>
  <c r="AE407" i="2"/>
  <c r="AE408" i="2"/>
  <c r="AE409" i="2"/>
  <c r="AE410" i="2"/>
  <c r="AE411" i="2"/>
  <c r="AE412" i="2"/>
  <c r="AD404" i="2"/>
  <c r="AD405" i="2"/>
  <c r="AD406" i="2"/>
  <c r="AD407" i="2"/>
  <c r="AD408" i="2"/>
  <c r="AD409" i="2"/>
  <c r="AD410" i="2"/>
  <c r="AD411" i="2"/>
  <c r="AD412" i="2"/>
  <c r="AB439" i="2"/>
  <c r="X439" i="2"/>
  <c r="Y439" i="2"/>
  <c r="AD474" i="2"/>
  <c r="V439" i="2"/>
  <c r="U439" i="2"/>
  <c r="AE475" i="2"/>
  <c r="AE476" i="2"/>
  <c r="AE477" i="2"/>
  <c r="AE478" i="2"/>
  <c r="AD475" i="2"/>
  <c r="AD476" i="2"/>
  <c r="AD477" i="2"/>
  <c r="AD478" i="2"/>
  <c r="AE471" i="2"/>
  <c r="AE472" i="2"/>
  <c r="AD471" i="2"/>
  <c r="AD472" i="2"/>
  <c r="AE470" i="2"/>
  <c r="AD470" i="2"/>
  <c r="AN467" i="2"/>
  <c r="AN466" i="2"/>
  <c r="AG467" i="2"/>
  <c r="AG466" i="2"/>
  <c r="AE467" i="2"/>
  <c r="AD467" i="2"/>
  <c r="AD466" i="2"/>
  <c r="AE466" i="2"/>
  <c r="AE463" i="2"/>
  <c r="AE464" i="2"/>
  <c r="AD463" i="2"/>
  <c r="AD464" i="2"/>
  <c r="AN461" i="2"/>
  <c r="AN460" i="2"/>
  <c r="AG461" i="2"/>
  <c r="AG460" i="2"/>
  <c r="AE461" i="2"/>
  <c r="AD461" i="2"/>
  <c r="AE455" i="2"/>
  <c r="AE456" i="2"/>
  <c r="AE457" i="2"/>
  <c r="AE458" i="2"/>
  <c r="AD455" i="2"/>
  <c r="AD456" i="2"/>
  <c r="AD457" i="2"/>
  <c r="AD458" i="2"/>
  <c r="AN454" i="2"/>
  <c r="AG454" i="2"/>
  <c r="AD452" i="2"/>
  <c r="AE450" i="2"/>
  <c r="AD450" i="2"/>
  <c r="AD449" i="2"/>
  <c r="AE445" i="2"/>
  <c r="AE446" i="2"/>
  <c r="AE447" i="2"/>
  <c r="AD445" i="2"/>
  <c r="AD446" i="2"/>
  <c r="AD447" i="2"/>
  <c r="AN440" i="2"/>
  <c r="AG440" i="2"/>
  <c r="AE441" i="2"/>
  <c r="AE442" i="2"/>
  <c r="AD441" i="2"/>
  <c r="AD442" i="2"/>
  <c r="AE438" i="2"/>
  <c r="AD438" i="2"/>
  <c r="AN434" i="2"/>
  <c r="AG434" i="2"/>
  <c r="AD435" i="2"/>
  <c r="AD434" i="2"/>
  <c r="AD433" i="2"/>
  <c r="AD432" i="2"/>
  <c r="AD431" i="2"/>
  <c r="AD429" i="2"/>
  <c r="AE430" i="2"/>
  <c r="AE431" i="2"/>
  <c r="AE432" i="2"/>
  <c r="AE433" i="2"/>
  <c r="AE434" i="2"/>
  <c r="AE435" i="2"/>
  <c r="O430" i="2"/>
  <c r="AD430" i="2" s="1"/>
  <c r="I533" i="2"/>
  <c r="AD533" i="2" s="1"/>
  <c r="AN531" i="2"/>
  <c r="AG531" i="2"/>
  <c r="AN532" i="2"/>
  <c r="AG532" i="2"/>
  <c r="AB530" i="2"/>
  <c r="AA530" i="2"/>
  <c r="AE532" i="2"/>
  <c r="AE533" i="2"/>
  <c r="AE534" i="2"/>
  <c r="AD532" i="2"/>
  <c r="AD534" i="2"/>
  <c r="AN528" i="2"/>
  <c r="AN529" i="2"/>
  <c r="AG529" i="2"/>
  <c r="AG528" i="2"/>
  <c r="AE529" i="2"/>
  <c r="AD529" i="2"/>
  <c r="AN526" i="2"/>
  <c r="AG526" i="2"/>
  <c r="AE526" i="2"/>
  <c r="AD526" i="2"/>
  <c r="AN525" i="2"/>
  <c r="AG525" i="2"/>
  <c r="AN523" i="2"/>
  <c r="AD523" i="2"/>
  <c r="AN521" i="2"/>
  <c r="AG521" i="2"/>
  <c r="AN520" i="2"/>
  <c r="AG520" i="2"/>
  <c r="AE520" i="2"/>
  <c r="AE521" i="2"/>
  <c r="AE522" i="2"/>
  <c r="AE523" i="2"/>
  <c r="AD520" i="2"/>
  <c r="AD521" i="2"/>
  <c r="AD522" i="2"/>
  <c r="AE519" i="2"/>
  <c r="AD519" i="2"/>
  <c r="AN516" i="2"/>
  <c r="AG516" i="2"/>
  <c r="V512" i="2"/>
  <c r="U512" i="2"/>
  <c r="AN511" i="2"/>
  <c r="AG511" i="2"/>
  <c r="AE514" i="2"/>
  <c r="AE515" i="2"/>
  <c r="AE516" i="2"/>
  <c r="AD514" i="2"/>
  <c r="AD515" i="2"/>
  <c r="AD516" i="2"/>
  <c r="AE510" i="2"/>
  <c r="AE511" i="2"/>
  <c r="AD510" i="2"/>
  <c r="AD511" i="2"/>
  <c r="AE509" i="2"/>
  <c r="AD509" i="2"/>
  <c r="AB512" i="2"/>
  <c r="AA512" i="2"/>
  <c r="V507" i="2"/>
  <c r="U507" i="2"/>
  <c r="AN505" i="2"/>
  <c r="AG505" i="2"/>
  <c r="AE506" i="2"/>
  <c r="AB507" i="2"/>
  <c r="AA507" i="2"/>
  <c r="AD506" i="2"/>
  <c r="AE503" i="2"/>
  <c r="AD503" i="2"/>
  <c r="AN500" i="2"/>
  <c r="AG500" i="2"/>
  <c r="AE500" i="2"/>
  <c r="AD500" i="2"/>
  <c r="AN499" i="2"/>
  <c r="AG499" i="2"/>
  <c r="AE499" i="2"/>
  <c r="AD499" i="2"/>
  <c r="AG498" i="2"/>
  <c r="AB497" i="2"/>
  <c r="Y497" i="2"/>
  <c r="X497" i="2"/>
  <c r="AN496" i="2"/>
  <c r="AG496" i="2"/>
  <c r="AE496" i="2"/>
  <c r="V497" i="2"/>
  <c r="U497" i="2"/>
  <c r="L496" i="2"/>
  <c r="AD496" i="2" s="1"/>
  <c r="AD264" i="2" l="1"/>
  <c r="AD148" i="2"/>
  <c r="AD169" i="2"/>
  <c r="AD313" i="2"/>
  <c r="AF133" i="2"/>
  <c r="AQ133" i="2" s="1"/>
  <c r="R18" i="3"/>
  <c r="AD204" i="2"/>
  <c r="AD177" i="2"/>
  <c r="AF132" i="2"/>
  <c r="AQ132" i="2" s="1"/>
  <c r="AD111" i="2"/>
  <c r="L493" i="2" l="1"/>
  <c r="AD493" i="2" s="1"/>
  <c r="AD492" i="2"/>
  <c r="AN491" i="2"/>
  <c r="AG491" i="2"/>
  <c r="V490" i="2"/>
  <c r="U490" i="2"/>
  <c r="AD489" i="2"/>
  <c r="Y490" i="2"/>
  <c r="X490" i="2"/>
  <c r="AN488" i="2"/>
  <c r="AG488" i="2"/>
  <c r="AD488" i="2"/>
  <c r="AN485" i="2"/>
  <c r="AG485" i="2"/>
  <c r="AN484" i="2"/>
  <c r="AG484" i="2"/>
  <c r="AE484" i="2"/>
  <c r="AB490" i="2"/>
  <c r="AB486" i="2"/>
  <c r="AN483" i="2"/>
  <c r="AD485" i="2"/>
  <c r="AD484" i="2"/>
  <c r="AD483" i="2"/>
  <c r="AG483" i="2"/>
  <c r="Y482" i="2"/>
  <c r="AB482" i="2"/>
  <c r="Y486" i="2"/>
  <c r="X486" i="2"/>
  <c r="V486" i="2"/>
  <c r="U486" i="2"/>
  <c r="V482" i="2"/>
  <c r="X482" i="2"/>
  <c r="U482" i="2"/>
  <c r="AG537" i="2"/>
  <c r="AN537" i="2"/>
  <c r="AD537" i="2"/>
  <c r="AN536" i="2"/>
  <c r="AG536" i="2"/>
  <c r="AE537" i="2"/>
  <c r="AE538" i="2"/>
  <c r="AD538" i="2"/>
  <c r="AN638" i="2"/>
  <c r="AG638" i="2"/>
  <c r="AG634" i="2"/>
  <c r="AN636" i="2"/>
  <c r="AG636" i="2"/>
  <c r="AN634" i="2"/>
  <c r="AD630" i="2"/>
  <c r="AD632" i="2"/>
  <c r="AN627" i="2"/>
  <c r="AG627" i="2"/>
  <c r="AE625" i="2"/>
  <c r="AD625" i="2"/>
  <c r="AN618" i="2"/>
  <c r="AG618" i="2"/>
  <c r="AN617" i="2"/>
  <c r="AG617" i="2"/>
  <c r="AD617" i="2"/>
  <c r="AE617" i="2"/>
  <c r="AN616" i="2"/>
  <c r="AG616" i="2"/>
  <c r="AG613" i="2"/>
  <c r="AG611" i="2"/>
  <c r="AN609" i="2"/>
  <c r="AG609" i="2"/>
  <c r="AN608" i="2"/>
  <c r="AN607" i="2"/>
  <c r="AP607" i="2" s="1"/>
  <c r="AG608" i="2"/>
  <c r="AG607" i="2"/>
  <c r="AN606" i="2"/>
  <c r="AG606" i="2"/>
  <c r="AN605" i="2"/>
  <c r="AG605" i="2"/>
  <c r="AN604" i="2"/>
  <c r="AG604" i="2"/>
  <c r="AD607" i="2"/>
  <c r="AE607" i="2"/>
  <c r="AN602" i="2"/>
  <c r="AG602" i="2"/>
  <c r="AN601" i="2"/>
  <c r="AG601" i="2"/>
  <c r="AN599" i="2"/>
  <c r="AG599" i="2"/>
  <c r="AG598" i="2"/>
  <c r="AN596" i="2"/>
  <c r="AG596" i="2"/>
  <c r="AN593" i="2"/>
  <c r="AG593" i="2"/>
  <c r="AN592" i="2"/>
  <c r="AG592" i="2"/>
  <c r="AG589" i="2"/>
  <c r="AN588" i="2"/>
  <c r="AG588" i="2"/>
  <c r="AN581" i="2"/>
  <c r="AG581" i="2"/>
  <c r="AN580" i="2"/>
  <c r="AG580" i="2"/>
  <c r="AN579" i="2"/>
  <c r="AG579" i="2"/>
  <c r="AN578" i="2"/>
  <c r="AG578" i="2"/>
  <c r="AN575" i="2"/>
  <c r="AG575" i="2"/>
  <c r="AN571" i="2"/>
  <c r="AG571" i="2"/>
  <c r="AD571" i="2"/>
  <c r="AS570" i="2"/>
  <c r="AG566" i="2" l="1"/>
  <c r="AN559" i="2"/>
  <c r="AG559" i="2"/>
  <c r="AN560" i="2"/>
  <c r="AG560" i="2"/>
  <c r="AD560" i="2"/>
  <c r="AE560" i="2"/>
  <c r="AN561" i="2"/>
  <c r="AG561" i="2"/>
  <c r="AN557" i="2"/>
  <c r="AG557" i="2"/>
  <c r="AG553" i="2"/>
  <c r="AN550" i="2"/>
  <c r="AN551" i="2"/>
  <c r="AN549" i="2"/>
  <c r="AG550" i="2"/>
  <c r="AG551" i="2"/>
  <c r="AG549" i="2"/>
  <c r="AL763" i="2"/>
  <c r="AN761" i="2"/>
  <c r="AN760" i="2"/>
  <c r="AG760" i="2"/>
  <c r="AG761" i="2"/>
  <c r="AE761" i="2"/>
  <c r="AE762" i="2"/>
  <c r="AD761" i="2"/>
  <c r="AD762" i="2"/>
  <c r="AN757" i="2"/>
  <c r="AG757" i="2"/>
  <c r="AN758" i="2"/>
  <c r="AG758" i="2"/>
  <c r="AD758" i="2"/>
  <c r="AN755" i="2"/>
  <c r="AD755" i="2"/>
  <c r="Y756" i="2"/>
  <c r="X756" i="2"/>
  <c r="V756" i="2"/>
  <c r="U756" i="2"/>
  <c r="AD754" i="2"/>
  <c r="AG754" i="2"/>
  <c r="AN754" i="2"/>
  <c r="AN753" i="2"/>
  <c r="AG753" i="2"/>
  <c r="AN751" i="2"/>
  <c r="AG751" i="2"/>
  <c r="AN750" i="2"/>
  <c r="AG750" i="2"/>
  <c r="AN749" i="2"/>
  <c r="AG749" i="2"/>
  <c r="AE749" i="2"/>
  <c r="AE750" i="2"/>
  <c r="AE751" i="2"/>
  <c r="AD749" i="2"/>
  <c r="AD750" i="2"/>
  <c r="AD751" i="2"/>
  <c r="AN748" i="2"/>
  <c r="AN742" i="2"/>
  <c r="AG742" i="2"/>
  <c r="AD743" i="2"/>
  <c r="AE742" i="2"/>
  <c r="AE743" i="2"/>
  <c r="AD742" i="2"/>
  <c r="AN741" i="2"/>
  <c r="AG741" i="2"/>
  <c r="AN739" i="2"/>
  <c r="AG739" i="2"/>
  <c r="AD739" i="2"/>
  <c r="AS739" i="2"/>
  <c r="AN738" i="2"/>
  <c r="AG738" i="2"/>
  <c r="AD738" i="2"/>
  <c r="AN737" i="2"/>
  <c r="AN734" i="2"/>
  <c r="AN733" i="2"/>
  <c r="AN732" i="2"/>
  <c r="AG734" i="2"/>
  <c r="AG733" i="2"/>
  <c r="AG732" i="2"/>
  <c r="AD732" i="2"/>
  <c r="AF732" i="2" s="1"/>
  <c r="AD733" i="2"/>
  <c r="AF733" i="2" s="1"/>
  <c r="AD734" i="2"/>
  <c r="AF734" i="2" s="1"/>
  <c r="AD735" i="2"/>
  <c r="AN730" i="2"/>
  <c r="AN728" i="2"/>
  <c r="AG730" i="2"/>
  <c r="AG728" i="2"/>
  <c r="AE729" i="2"/>
  <c r="AE730" i="2"/>
  <c r="AD729" i="2"/>
  <c r="AD730" i="2"/>
  <c r="AE725" i="2"/>
  <c r="AE726" i="2"/>
  <c r="AD725" i="2"/>
  <c r="AD726" i="2"/>
  <c r="AN724" i="2"/>
  <c r="AG724" i="2"/>
  <c r="AN721" i="2"/>
  <c r="AN719" i="2"/>
  <c r="AN720" i="2"/>
  <c r="AN718" i="2"/>
  <c r="AG721" i="2"/>
  <c r="AG719" i="2"/>
  <c r="AG720" i="2"/>
  <c r="AG718" i="2"/>
  <c r="Y723" i="2"/>
  <c r="X723" i="2"/>
  <c r="V723" i="2"/>
  <c r="U723" i="2"/>
  <c r="AE719" i="2"/>
  <c r="AE720" i="2"/>
  <c r="AE721" i="2"/>
  <c r="AE722" i="2"/>
  <c r="AD719" i="2"/>
  <c r="AD720" i="2"/>
  <c r="AD721" i="2"/>
  <c r="AD722" i="2"/>
  <c r="AN715" i="2"/>
  <c r="AG715" i="2"/>
  <c r="AN714" i="2"/>
  <c r="AG714" i="2"/>
  <c r="AD716" i="2"/>
  <c r="AD715" i="2"/>
  <c r="AD714" i="2"/>
  <c r="AD713" i="2"/>
  <c r="AE714" i="2"/>
  <c r="AE715" i="2"/>
  <c r="AE716" i="2"/>
  <c r="AB705" i="2"/>
  <c r="AN707" i="2"/>
  <c r="AG707" i="2"/>
  <c r="AA705" i="2"/>
  <c r="AE707" i="2"/>
  <c r="AE708" i="2"/>
  <c r="AD707" i="2"/>
  <c r="AD708" i="2"/>
  <c r="AN703" i="2"/>
  <c r="AG703" i="2"/>
  <c r="AN704" i="2"/>
  <c r="AG704" i="2"/>
  <c r="AE703" i="2"/>
  <c r="AE704" i="2"/>
  <c r="AD703" i="2"/>
  <c r="AD704" i="2"/>
  <c r="AN702" i="2"/>
  <c r="AG702" i="2"/>
  <c r="AN697" i="2"/>
  <c r="AG697" i="2"/>
  <c r="AD698" i="2"/>
  <c r="AD699" i="2"/>
  <c r="AD700" i="2"/>
  <c r="AD697" i="2"/>
  <c r="AN696" i="2"/>
  <c r="AG696" i="2"/>
  <c r="AD696" i="2"/>
  <c r="AN695" i="2"/>
  <c r="AG695" i="2"/>
  <c r="AD693" i="2"/>
  <c r="AD692" i="2"/>
  <c r="AN691" i="2"/>
  <c r="AG691" i="2"/>
  <c r="AD691" i="2"/>
  <c r="AN688" i="2"/>
  <c r="AG688" i="2"/>
  <c r="AE688" i="2"/>
  <c r="AD688" i="2"/>
  <c r="AN687" i="2"/>
  <c r="AG687" i="2"/>
  <c r="AN685" i="2"/>
  <c r="AG685" i="2"/>
  <c r="AE685" i="2"/>
  <c r="AD685" i="2"/>
  <c r="AN684" i="2"/>
  <c r="AG684" i="2"/>
  <c r="AA686" i="2"/>
  <c r="AA683" i="2"/>
  <c r="V686" i="2"/>
  <c r="U686" i="2"/>
  <c r="U683" i="2"/>
  <c r="V683" i="2"/>
  <c r="AN666" i="2"/>
  <c r="AG666" i="2"/>
  <c r="AN663" i="2"/>
  <c r="AN662" i="2"/>
  <c r="AG663" i="2"/>
  <c r="AG662" i="2"/>
  <c r="AG660" i="2"/>
  <c r="AN660" i="2"/>
  <c r="AN658" i="2"/>
  <c r="AG658" i="2"/>
  <c r="AN682" i="2"/>
  <c r="AG682" i="2"/>
  <c r="AN680" i="2"/>
  <c r="AG680" i="2"/>
  <c r="AN679" i="2"/>
  <c r="AG679" i="2"/>
  <c r="AN676" i="2"/>
  <c r="AG676" i="2"/>
  <c r="AN674" i="2"/>
  <c r="AG674" i="2"/>
  <c r="AE680" i="2"/>
  <c r="AE681" i="2"/>
  <c r="AE682" i="2"/>
  <c r="AD680" i="2"/>
  <c r="AD681" i="2"/>
  <c r="AD682" i="2"/>
  <c r="AE674" i="2"/>
  <c r="AE675" i="2"/>
  <c r="AE676" i="2"/>
  <c r="AE677" i="2"/>
  <c r="AD674" i="2"/>
  <c r="AD675" i="2"/>
  <c r="AD676" i="2"/>
  <c r="AD677" i="2"/>
  <c r="AN673" i="2"/>
  <c r="AG673" i="2"/>
  <c r="AN671" i="2"/>
  <c r="AG671" i="2"/>
  <c r="AB670" i="2"/>
  <c r="AA670" i="2"/>
  <c r="Y670" i="2"/>
  <c r="X670" i="2"/>
  <c r="V670" i="2"/>
  <c r="U670" i="2"/>
  <c r="AE667" i="2"/>
  <c r="AE668" i="2"/>
  <c r="AE669" i="2"/>
  <c r="AD667" i="2"/>
  <c r="AD668" i="2"/>
  <c r="AD669" i="2"/>
  <c r="AE666" i="2"/>
  <c r="AD666" i="2"/>
  <c r="AN665" i="2"/>
  <c r="AG665" i="2"/>
  <c r="AD663" i="2"/>
  <c r="AD662" i="2"/>
  <c r="AD658" i="2"/>
  <c r="AN657" i="2"/>
  <c r="AG657" i="2"/>
  <c r="AE657" i="2"/>
  <c r="AD657" i="2"/>
  <c r="AD659" i="2"/>
  <c r="AD660" i="2"/>
  <c r="AN656" i="2"/>
  <c r="AG656" i="2"/>
  <c r="Y661" i="2"/>
  <c r="X661" i="2"/>
  <c r="V661" i="2"/>
  <c r="U661" i="2"/>
  <c r="AN654" i="2"/>
  <c r="AG654" i="2"/>
  <c r="AG648" i="2"/>
  <c r="AB661" i="2"/>
  <c r="AB655" i="2"/>
  <c r="AS652" i="2"/>
  <c r="AE652" i="2"/>
  <c r="AE653" i="2"/>
  <c r="AE654" i="2"/>
  <c r="AD652" i="2"/>
  <c r="AD653" i="2"/>
  <c r="AD654" i="2"/>
  <c r="AB650" i="2"/>
  <c r="AG650" i="2" l="1"/>
  <c r="D12" i="18"/>
  <c r="AL642" i="2"/>
  <c r="AP640" i="2"/>
  <c r="AM640" i="2"/>
  <c r="AI640" i="2"/>
  <c r="AE640" i="2"/>
  <c r="AD640" i="2"/>
  <c r="AC640" i="2"/>
  <c r="Z640" i="2"/>
  <c r="W640" i="2"/>
  <c r="T640" i="2"/>
  <c r="Q640" i="2"/>
  <c r="N640" i="2"/>
  <c r="K640" i="2"/>
  <c r="AO639" i="2"/>
  <c r="AN639" i="2"/>
  <c r="AK639" i="2"/>
  <c r="AJ639" i="2"/>
  <c r="AH639" i="2"/>
  <c r="AG639" i="2"/>
  <c r="AB639" i="2"/>
  <c r="AA639" i="2"/>
  <c r="Y639" i="2"/>
  <c r="X639" i="2"/>
  <c r="V639" i="2"/>
  <c r="U639" i="2"/>
  <c r="S639" i="2"/>
  <c r="R639" i="2"/>
  <c r="P639" i="2"/>
  <c r="O639" i="2"/>
  <c r="M639" i="2"/>
  <c r="L639" i="2"/>
  <c r="J639" i="2"/>
  <c r="I639" i="2"/>
  <c r="AP638" i="2"/>
  <c r="AM638" i="2"/>
  <c r="AI638" i="2"/>
  <c r="AE638" i="2"/>
  <c r="AD638" i="2"/>
  <c r="AC638" i="2"/>
  <c r="Z638" i="2"/>
  <c r="W638" i="2"/>
  <c r="T638" i="2"/>
  <c r="Q638" i="2"/>
  <c r="N638" i="2"/>
  <c r="K638" i="2"/>
  <c r="AO637" i="2"/>
  <c r="AN637" i="2"/>
  <c r="AK637" i="2"/>
  <c r="AJ637" i="2"/>
  <c r="AH637" i="2"/>
  <c r="AG637" i="2"/>
  <c r="AB637" i="2"/>
  <c r="AA637" i="2"/>
  <c r="Y637" i="2"/>
  <c r="X637" i="2"/>
  <c r="V637" i="2"/>
  <c r="U637" i="2"/>
  <c r="S637" i="2"/>
  <c r="R637" i="2"/>
  <c r="P637" i="2"/>
  <c r="O637" i="2"/>
  <c r="M637" i="2"/>
  <c r="L637" i="2"/>
  <c r="J637" i="2"/>
  <c r="I637" i="2"/>
  <c r="AP636" i="2"/>
  <c r="AM636" i="2"/>
  <c r="AI636" i="2"/>
  <c r="AE636" i="2"/>
  <c r="AD636" i="2"/>
  <c r="AC636" i="2"/>
  <c r="Z636" i="2"/>
  <c r="W636" i="2"/>
  <c r="T636" i="2"/>
  <c r="Q636" i="2"/>
  <c r="N636" i="2"/>
  <c r="K636" i="2"/>
  <c r="AO635" i="2"/>
  <c r="AN635" i="2"/>
  <c r="AK635" i="2"/>
  <c r="AJ635" i="2"/>
  <c r="AH635" i="2"/>
  <c r="AG635" i="2"/>
  <c r="AB635" i="2"/>
  <c r="AA635" i="2"/>
  <c r="Y635" i="2"/>
  <c r="X635" i="2"/>
  <c r="V635" i="2"/>
  <c r="U635" i="2"/>
  <c r="S635" i="2"/>
  <c r="R635" i="2"/>
  <c r="P635" i="2"/>
  <c r="O635" i="2"/>
  <c r="M635" i="2"/>
  <c r="L635" i="2"/>
  <c r="J635" i="2"/>
  <c r="I635" i="2"/>
  <c r="AP634" i="2"/>
  <c r="AM634" i="2"/>
  <c r="AI634" i="2"/>
  <c r="AE634" i="2"/>
  <c r="AD634" i="2"/>
  <c r="AC634" i="2"/>
  <c r="Z634" i="2"/>
  <c r="W634" i="2"/>
  <c r="T634" i="2"/>
  <c r="Q634" i="2"/>
  <c r="N634" i="2"/>
  <c r="K634" i="2"/>
  <c r="AO633" i="2"/>
  <c r="AN633" i="2"/>
  <c r="AK633" i="2"/>
  <c r="AJ633" i="2"/>
  <c r="AH633" i="2"/>
  <c r="AG633" i="2"/>
  <c r="AB633" i="2"/>
  <c r="AA633" i="2"/>
  <c r="Y633" i="2"/>
  <c r="X633" i="2"/>
  <c r="V633" i="2"/>
  <c r="U633" i="2"/>
  <c r="S633" i="2"/>
  <c r="R633" i="2"/>
  <c r="P633" i="2"/>
  <c r="O633" i="2"/>
  <c r="M633" i="2"/>
  <c r="L633" i="2"/>
  <c r="J633" i="2"/>
  <c r="I633" i="2"/>
  <c r="AP632" i="2"/>
  <c r="AM632" i="2"/>
  <c r="AI632" i="2"/>
  <c r="AE632" i="2"/>
  <c r="AC632" i="2"/>
  <c r="Z632" i="2"/>
  <c r="W632" i="2"/>
  <c r="T632" i="2"/>
  <c r="Q632" i="2"/>
  <c r="N632" i="2"/>
  <c r="K632" i="2"/>
  <c r="AP631" i="2"/>
  <c r="AM631" i="2"/>
  <c r="AI631" i="2"/>
  <c r="AE631" i="2"/>
  <c r="AF631" i="2" s="1"/>
  <c r="AC631" i="2"/>
  <c r="Z631" i="2"/>
  <c r="W631" i="2"/>
  <c r="T631" i="2"/>
  <c r="Q631" i="2"/>
  <c r="N631" i="2"/>
  <c r="K631" i="2"/>
  <c r="AP630" i="2"/>
  <c r="AM630" i="2"/>
  <c r="AI630" i="2"/>
  <c r="AF630" i="2"/>
  <c r="AC630" i="2"/>
  <c r="Z630" i="2"/>
  <c r="W630" i="2"/>
  <c r="T630" i="2"/>
  <c r="Q630" i="2"/>
  <c r="N630" i="2"/>
  <c r="K630" i="2"/>
  <c r="AP629" i="2"/>
  <c r="AM629" i="2"/>
  <c r="AI629" i="2"/>
  <c r="AE629" i="2"/>
  <c r="AD629" i="2"/>
  <c r="AC629" i="2"/>
  <c r="Z629" i="2"/>
  <c r="W629" i="2"/>
  <c r="T629" i="2"/>
  <c r="Q629" i="2"/>
  <c r="N629" i="2"/>
  <c r="K629" i="2"/>
  <c r="AO628" i="2"/>
  <c r="AN628" i="2"/>
  <c r="AK628" i="2"/>
  <c r="AJ628" i="2"/>
  <c r="AH628" i="2"/>
  <c r="AG628" i="2"/>
  <c r="AB628" i="2"/>
  <c r="AA628" i="2"/>
  <c r="Y628" i="2"/>
  <c r="X628" i="2"/>
  <c r="V628" i="2"/>
  <c r="U628" i="2"/>
  <c r="S628" i="2"/>
  <c r="R628" i="2"/>
  <c r="P628" i="2"/>
  <c r="O628" i="2"/>
  <c r="M628" i="2"/>
  <c r="L628" i="2"/>
  <c r="J628" i="2"/>
  <c r="I628" i="2"/>
  <c r="AP627" i="2"/>
  <c r="AM627" i="2"/>
  <c r="AI627" i="2"/>
  <c r="AE627" i="2"/>
  <c r="AD627" i="2"/>
  <c r="AC627" i="2"/>
  <c r="Z627" i="2"/>
  <c r="W627" i="2"/>
  <c r="T627" i="2"/>
  <c r="Q627" i="2"/>
  <c r="N627" i="2"/>
  <c r="K627" i="2"/>
  <c r="AP626" i="2"/>
  <c r="AM626" i="2"/>
  <c r="AI626" i="2"/>
  <c r="AE626" i="2"/>
  <c r="AD626" i="2"/>
  <c r="AC626" i="2"/>
  <c r="Z626" i="2"/>
  <c r="W626" i="2"/>
  <c r="T626" i="2"/>
  <c r="Q626" i="2"/>
  <c r="N626" i="2"/>
  <c r="K626" i="2"/>
  <c r="AP625" i="2"/>
  <c r="AM625" i="2"/>
  <c r="AI625" i="2"/>
  <c r="AF625" i="2"/>
  <c r="AC625" i="2"/>
  <c r="Z625" i="2"/>
  <c r="W625" i="2"/>
  <c r="T625" i="2"/>
  <c r="Q625" i="2"/>
  <c r="N625" i="2"/>
  <c r="K625" i="2"/>
  <c r="AP624" i="2"/>
  <c r="AM624" i="2"/>
  <c r="AI624" i="2"/>
  <c r="AE624" i="2"/>
  <c r="AD624" i="2"/>
  <c r="AC624" i="2"/>
  <c r="Z624" i="2"/>
  <c r="W624" i="2"/>
  <c r="T624" i="2"/>
  <c r="Q624" i="2"/>
  <c r="N624" i="2"/>
  <c r="K624" i="2"/>
  <c r="AO623" i="2"/>
  <c r="AN623" i="2"/>
  <c r="AK623" i="2"/>
  <c r="AJ623" i="2"/>
  <c r="AH623" i="2"/>
  <c r="AG623" i="2"/>
  <c r="AB623" i="2"/>
  <c r="AA623" i="2"/>
  <c r="Y623" i="2"/>
  <c r="X623" i="2"/>
  <c r="V623" i="2"/>
  <c r="U623" i="2"/>
  <c r="S623" i="2"/>
  <c r="R623" i="2"/>
  <c r="P623" i="2"/>
  <c r="O623" i="2"/>
  <c r="M623" i="2"/>
  <c r="L623" i="2"/>
  <c r="J623" i="2"/>
  <c r="I623" i="2"/>
  <c r="K617" i="2"/>
  <c r="N617" i="2"/>
  <c r="Q617" i="2"/>
  <c r="T617" i="2"/>
  <c r="W617" i="2"/>
  <c r="Z617" i="2"/>
  <c r="AC617" i="2"/>
  <c r="AF617" i="2"/>
  <c r="AI617" i="2"/>
  <c r="AM617" i="2"/>
  <c r="AP617" i="2"/>
  <c r="AP619" i="2"/>
  <c r="AM619" i="2"/>
  <c r="AI619" i="2"/>
  <c r="AE619" i="2"/>
  <c r="AD619" i="2"/>
  <c r="AC619" i="2"/>
  <c r="Z619" i="2"/>
  <c r="W619" i="2"/>
  <c r="T619" i="2"/>
  <c r="Q619" i="2"/>
  <c r="N619" i="2"/>
  <c r="K619" i="2"/>
  <c r="AP618" i="2"/>
  <c r="AM618" i="2"/>
  <c r="AI618" i="2"/>
  <c r="AE618" i="2"/>
  <c r="AD618" i="2"/>
  <c r="AC618" i="2"/>
  <c r="Z618" i="2"/>
  <c r="W618" i="2"/>
  <c r="T618" i="2"/>
  <c r="Q618" i="2"/>
  <c r="N618" i="2"/>
  <c r="K618" i="2"/>
  <c r="AP616" i="2"/>
  <c r="AM616" i="2"/>
  <c r="AI616" i="2"/>
  <c r="AE616" i="2"/>
  <c r="AD616" i="2"/>
  <c r="AC616" i="2"/>
  <c r="Z616" i="2"/>
  <c r="W616" i="2"/>
  <c r="T616" i="2"/>
  <c r="Q616" i="2"/>
  <c r="N616" i="2"/>
  <c r="K616" i="2"/>
  <c r="AO615" i="2"/>
  <c r="AN615" i="2"/>
  <c r="AK615" i="2"/>
  <c r="AJ615" i="2"/>
  <c r="AH615" i="2"/>
  <c r="AG615" i="2"/>
  <c r="AB615" i="2"/>
  <c r="AA615" i="2"/>
  <c r="Y615" i="2"/>
  <c r="X615" i="2"/>
  <c r="V615" i="2"/>
  <c r="U615" i="2"/>
  <c r="S615" i="2"/>
  <c r="R615" i="2"/>
  <c r="P615" i="2"/>
  <c r="O615" i="2"/>
  <c r="M615" i="2"/>
  <c r="L615" i="2"/>
  <c r="J615" i="2"/>
  <c r="I615" i="2"/>
  <c r="AP614" i="2"/>
  <c r="AM614" i="2"/>
  <c r="AI614" i="2"/>
  <c r="AE614" i="2"/>
  <c r="AD614" i="2"/>
  <c r="AC614" i="2"/>
  <c r="Z614" i="2"/>
  <c r="W614" i="2"/>
  <c r="T614" i="2"/>
  <c r="Q614" i="2"/>
  <c r="N614" i="2"/>
  <c r="K614" i="2"/>
  <c r="AP613" i="2"/>
  <c r="AM613" i="2"/>
  <c r="AI613" i="2"/>
  <c r="AE613" i="2"/>
  <c r="AD613" i="2"/>
  <c r="AC613" i="2"/>
  <c r="Z613" i="2"/>
  <c r="W613" i="2"/>
  <c r="T613" i="2"/>
  <c r="Q613" i="2"/>
  <c r="N613" i="2"/>
  <c r="K613" i="2"/>
  <c r="AO612" i="2"/>
  <c r="AN612" i="2"/>
  <c r="AK612" i="2"/>
  <c r="AJ612" i="2"/>
  <c r="AH612" i="2"/>
  <c r="AG612" i="2"/>
  <c r="AB612" i="2"/>
  <c r="AA612" i="2"/>
  <c r="Y612" i="2"/>
  <c r="X612" i="2"/>
  <c r="V612" i="2"/>
  <c r="U612" i="2"/>
  <c r="S612" i="2"/>
  <c r="R612" i="2"/>
  <c r="P612" i="2"/>
  <c r="O612" i="2"/>
  <c r="M612" i="2"/>
  <c r="L612" i="2"/>
  <c r="J612" i="2"/>
  <c r="I612" i="2"/>
  <c r="AP611" i="2"/>
  <c r="AM611" i="2"/>
  <c r="AI611" i="2"/>
  <c r="AE611" i="2"/>
  <c r="AD611" i="2"/>
  <c r="AC611" i="2"/>
  <c r="Z611" i="2"/>
  <c r="W611" i="2"/>
  <c r="T611" i="2"/>
  <c r="Q611" i="2"/>
  <c r="N611" i="2"/>
  <c r="K611" i="2"/>
  <c r="AO610" i="2"/>
  <c r="AN610" i="2"/>
  <c r="AK610" i="2"/>
  <c r="AJ610" i="2"/>
  <c r="AH610" i="2"/>
  <c r="AG610" i="2"/>
  <c r="AB610" i="2"/>
  <c r="AA610" i="2"/>
  <c r="Y610" i="2"/>
  <c r="X610" i="2"/>
  <c r="V610" i="2"/>
  <c r="U610" i="2"/>
  <c r="S610" i="2"/>
  <c r="R610" i="2"/>
  <c r="P610" i="2"/>
  <c r="O610" i="2"/>
  <c r="M610" i="2"/>
  <c r="L610" i="2"/>
  <c r="J610" i="2"/>
  <c r="I610" i="2"/>
  <c r="AM607" i="2"/>
  <c r="AI607" i="2"/>
  <c r="AF607" i="2"/>
  <c r="AC607" i="2"/>
  <c r="Z607" i="2"/>
  <c r="W607" i="2"/>
  <c r="T607" i="2"/>
  <c r="Q607" i="2"/>
  <c r="N607" i="2"/>
  <c r="K607" i="2"/>
  <c r="AP609" i="2"/>
  <c r="AM609" i="2"/>
  <c r="AI609" i="2"/>
  <c r="AE609" i="2"/>
  <c r="AD609" i="2"/>
  <c r="AC609" i="2"/>
  <c r="Z609" i="2"/>
  <c r="W609" i="2"/>
  <c r="T609" i="2"/>
  <c r="Q609" i="2"/>
  <c r="N609" i="2"/>
  <c r="K609" i="2"/>
  <c r="AP608" i="2"/>
  <c r="AM608" i="2"/>
  <c r="AI608" i="2"/>
  <c r="AE608" i="2"/>
  <c r="AD608" i="2"/>
  <c r="AC608" i="2"/>
  <c r="Z608" i="2"/>
  <c r="W608" i="2"/>
  <c r="T608" i="2"/>
  <c r="Q608" i="2"/>
  <c r="N608" i="2"/>
  <c r="K608" i="2"/>
  <c r="AP606" i="2"/>
  <c r="AM606" i="2"/>
  <c r="AI606" i="2"/>
  <c r="AE606" i="2"/>
  <c r="AD606" i="2"/>
  <c r="AC606" i="2"/>
  <c r="Z606" i="2"/>
  <c r="W606" i="2"/>
  <c r="T606" i="2"/>
  <c r="Q606" i="2"/>
  <c r="N606" i="2"/>
  <c r="K606" i="2"/>
  <c r="AP605" i="2"/>
  <c r="AM605" i="2"/>
  <c r="AI605" i="2"/>
  <c r="AE605" i="2"/>
  <c r="AD605" i="2"/>
  <c r="AC605" i="2"/>
  <c r="Z605" i="2"/>
  <c r="W605" i="2"/>
  <c r="T605" i="2"/>
  <c r="Q605" i="2"/>
  <c r="N605" i="2"/>
  <c r="K605" i="2"/>
  <c r="AP604" i="2"/>
  <c r="AM604" i="2"/>
  <c r="AI604" i="2"/>
  <c r="AE604" i="2"/>
  <c r="AD604" i="2"/>
  <c r="AC604" i="2"/>
  <c r="Z604" i="2"/>
  <c r="W604" i="2"/>
  <c r="T604" i="2"/>
  <c r="Q604" i="2"/>
  <c r="N604" i="2"/>
  <c r="K604" i="2"/>
  <c r="AO603" i="2"/>
  <c r="AN603" i="2"/>
  <c r="AK603" i="2"/>
  <c r="AJ603" i="2"/>
  <c r="AH603" i="2"/>
  <c r="AG603" i="2"/>
  <c r="AB603" i="2"/>
  <c r="AA603" i="2"/>
  <c r="Y603" i="2"/>
  <c r="X603" i="2"/>
  <c r="V603" i="2"/>
  <c r="U603" i="2"/>
  <c r="S603" i="2"/>
  <c r="R603" i="2"/>
  <c r="P603" i="2"/>
  <c r="O603" i="2"/>
  <c r="M603" i="2"/>
  <c r="L603" i="2"/>
  <c r="J603" i="2"/>
  <c r="I603" i="2"/>
  <c r="AP602" i="2"/>
  <c r="AM602" i="2"/>
  <c r="AI602" i="2"/>
  <c r="AE602" i="2"/>
  <c r="AD602" i="2"/>
  <c r="AC602" i="2"/>
  <c r="Z602" i="2"/>
  <c r="W602" i="2"/>
  <c r="T602" i="2"/>
  <c r="Q602" i="2"/>
  <c r="N602" i="2"/>
  <c r="K602" i="2"/>
  <c r="AP601" i="2"/>
  <c r="AM601" i="2"/>
  <c r="AI601" i="2"/>
  <c r="AE601" i="2"/>
  <c r="AD601" i="2"/>
  <c r="AC601" i="2"/>
  <c r="Z601" i="2"/>
  <c r="W601" i="2"/>
  <c r="T601" i="2"/>
  <c r="Q601" i="2"/>
  <c r="N601" i="2"/>
  <c r="K601" i="2"/>
  <c r="AO600" i="2"/>
  <c r="AN600" i="2"/>
  <c r="AK600" i="2"/>
  <c r="AJ600" i="2"/>
  <c r="AH600" i="2"/>
  <c r="AG600" i="2"/>
  <c r="AB600" i="2"/>
  <c r="AA600" i="2"/>
  <c r="Y600" i="2"/>
  <c r="X600" i="2"/>
  <c r="V600" i="2"/>
  <c r="U600" i="2"/>
  <c r="S600" i="2"/>
  <c r="R600" i="2"/>
  <c r="P600" i="2"/>
  <c r="O600" i="2"/>
  <c r="M600" i="2"/>
  <c r="L600" i="2"/>
  <c r="J600" i="2"/>
  <c r="I600" i="2"/>
  <c r="AP599" i="2"/>
  <c r="AM599" i="2"/>
  <c r="AI599" i="2"/>
  <c r="AE599" i="2"/>
  <c r="AD599" i="2"/>
  <c r="AC599" i="2"/>
  <c r="Z599" i="2"/>
  <c r="W599" i="2"/>
  <c r="T599" i="2"/>
  <c r="Q599" i="2"/>
  <c r="N599" i="2"/>
  <c r="K599" i="2"/>
  <c r="AP598" i="2"/>
  <c r="AM598" i="2"/>
  <c r="AI598" i="2"/>
  <c r="AE598" i="2"/>
  <c r="AD598" i="2"/>
  <c r="AC598" i="2"/>
  <c r="Z598" i="2"/>
  <c r="W598" i="2"/>
  <c r="T598" i="2"/>
  <c r="Q598" i="2"/>
  <c r="N598" i="2"/>
  <c r="K598" i="2"/>
  <c r="AO597" i="2"/>
  <c r="AN597" i="2"/>
  <c r="AK597" i="2"/>
  <c r="AJ597" i="2"/>
  <c r="AH597" i="2"/>
  <c r="AG597" i="2"/>
  <c r="AB597" i="2"/>
  <c r="AA597" i="2"/>
  <c r="Y597" i="2"/>
  <c r="X597" i="2"/>
  <c r="V597" i="2"/>
  <c r="U597" i="2"/>
  <c r="S597" i="2"/>
  <c r="R597" i="2"/>
  <c r="P597" i="2"/>
  <c r="O597" i="2"/>
  <c r="M597" i="2"/>
  <c r="L597" i="2"/>
  <c r="J597" i="2"/>
  <c r="I597" i="2"/>
  <c r="I591" i="2"/>
  <c r="AP596" i="2"/>
  <c r="AM596" i="2"/>
  <c r="AI596" i="2"/>
  <c r="AE596" i="2"/>
  <c r="AD596" i="2"/>
  <c r="AC596" i="2"/>
  <c r="Z596" i="2"/>
  <c r="W596" i="2"/>
  <c r="T596" i="2"/>
  <c r="Q596" i="2"/>
  <c r="N596" i="2"/>
  <c r="K596" i="2"/>
  <c r="AP595" i="2"/>
  <c r="AM595" i="2"/>
  <c r="AI595" i="2"/>
  <c r="AE595" i="2"/>
  <c r="AC595" i="2"/>
  <c r="Z595" i="2"/>
  <c r="W595" i="2"/>
  <c r="T595" i="2"/>
  <c r="Q595" i="2"/>
  <c r="N595" i="2"/>
  <c r="K595" i="2"/>
  <c r="AP594" i="2"/>
  <c r="AM594" i="2"/>
  <c r="AI594" i="2"/>
  <c r="AE594" i="2"/>
  <c r="AC594" i="2"/>
  <c r="Z594" i="2"/>
  <c r="W594" i="2"/>
  <c r="T594" i="2"/>
  <c r="Q594" i="2"/>
  <c r="N594" i="2"/>
  <c r="K594" i="2"/>
  <c r="AP593" i="2"/>
  <c r="AM593" i="2"/>
  <c r="AI593" i="2"/>
  <c r="AE593" i="2"/>
  <c r="AD593" i="2"/>
  <c r="AC593" i="2"/>
  <c r="Z593" i="2"/>
  <c r="W593" i="2"/>
  <c r="T593" i="2"/>
  <c r="Q593" i="2"/>
  <c r="N593" i="2"/>
  <c r="K593" i="2"/>
  <c r="AP592" i="2"/>
  <c r="AM592" i="2"/>
  <c r="AI592" i="2"/>
  <c r="AE592" i="2"/>
  <c r="AD592" i="2"/>
  <c r="AC592" i="2"/>
  <c r="Z592" i="2"/>
  <c r="W592" i="2"/>
  <c r="T592" i="2"/>
  <c r="Q592" i="2"/>
  <c r="N592" i="2"/>
  <c r="K592" i="2"/>
  <c r="AO591" i="2"/>
  <c r="AN591" i="2"/>
  <c r="AK591" i="2"/>
  <c r="AJ591" i="2"/>
  <c r="AH591" i="2"/>
  <c r="AG591" i="2"/>
  <c r="AB591" i="2"/>
  <c r="AA591" i="2"/>
  <c r="Y591" i="2"/>
  <c r="X591" i="2"/>
  <c r="V591" i="2"/>
  <c r="U591" i="2"/>
  <c r="S591" i="2"/>
  <c r="R591" i="2"/>
  <c r="P591" i="2"/>
  <c r="O591" i="2"/>
  <c r="M591" i="2"/>
  <c r="L591" i="2"/>
  <c r="J591" i="2"/>
  <c r="AP590" i="2"/>
  <c r="AM590" i="2"/>
  <c r="AI590" i="2"/>
  <c r="AE590" i="2"/>
  <c r="AC590" i="2"/>
  <c r="Z590" i="2"/>
  <c r="W590" i="2"/>
  <c r="T590" i="2"/>
  <c r="Q590" i="2"/>
  <c r="N590" i="2"/>
  <c r="K590" i="2"/>
  <c r="AP589" i="2"/>
  <c r="AM589" i="2"/>
  <c r="AI589" i="2"/>
  <c r="AE589" i="2"/>
  <c r="AD589" i="2"/>
  <c r="AC589" i="2"/>
  <c r="Z589" i="2"/>
  <c r="W589" i="2"/>
  <c r="T589" i="2"/>
  <c r="Q589" i="2"/>
  <c r="N589" i="2"/>
  <c r="K589" i="2"/>
  <c r="AP588" i="2"/>
  <c r="AM588" i="2"/>
  <c r="AI588" i="2"/>
  <c r="AE588" i="2"/>
  <c r="AD588" i="2"/>
  <c r="AC588" i="2"/>
  <c r="Z588" i="2"/>
  <c r="W588" i="2"/>
  <c r="T588" i="2"/>
  <c r="Q588" i="2"/>
  <c r="N588" i="2"/>
  <c r="K588" i="2"/>
  <c r="AO587" i="2"/>
  <c r="AN587" i="2"/>
  <c r="AK587" i="2"/>
  <c r="AJ587" i="2"/>
  <c r="AH587" i="2"/>
  <c r="AG587" i="2"/>
  <c r="AB587" i="2"/>
  <c r="AA587" i="2"/>
  <c r="Y587" i="2"/>
  <c r="X587" i="2"/>
  <c r="V587" i="2"/>
  <c r="U587" i="2"/>
  <c r="S587" i="2"/>
  <c r="R587" i="2"/>
  <c r="P587" i="2"/>
  <c r="O587" i="2"/>
  <c r="M587" i="2"/>
  <c r="L587" i="2"/>
  <c r="J587" i="2"/>
  <c r="I587" i="2"/>
  <c r="AP761" i="2"/>
  <c r="AM761" i="2"/>
  <c r="AI761" i="2"/>
  <c r="AF761" i="2"/>
  <c r="AC761" i="2"/>
  <c r="Z761" i="2"/>
  <c r="W761" i="2"/>
  <c r="T761" i="2"/>
  <c r="Q761" i="2"/>
  <c r="N761" i="2"/>
  <c r="K761" i="2"/>
  <c r="AB723" i="2"/>
  <c r="AB717" i="2"/>
  <c r="AB712" i="2"/>
  <c r="AL744" i="2"/>
  <c r="AB759" i="2"/>
  <c r="AB756" i="2"/>
  <c r="AB752" i="2"/>
  <c r="AB747" i="2"/>
  <c r="AP762" i="2"/>
  <c r="AM762" i="2"/>
  <c r="AI762" i="2"/>
  <c r="AF762" i="2"/>
  <c r="AC762" i="2"/>
  <c r="Z762" i="2"/>
  <c r="W762" i="2"/>
  <c r="T762" i="2"/>
  <c r="Q762" i="2"/>
  <c r="N762" i="2"/>
  <c r="K762" i="2"/>
  <c r="AP760" i="2"/>
  <c r="AM760" i="2"/>
  <c r="AI760" i="2"/>
  <c r="AE760" i="2"/>
  <c r="AD760" i="2"/>
  <c r="AC760" i="2"/>
  <c r="Z760" i="2"/>
  <c r="W760" i="2"/>
  <c r="T760" i="2"/>
  <c r="Q760" i="2"/>
  <c r="N760" i="2"/>
  <c r="K760" i="2"/>
  <c r="AO759" i="2"/>
  <c r="AN759" i="2"/>
  <c r="AK759" i="2"/>
  <c r="AJ759" i="2"/>
  <c r="AH759" i="2"/>
  <c r="AG759" i="2"/>
  <c r="AA759" i="2"/>
  <c r="Y759" i="2"/>
  <c r="X759" i="2"/>
  <c r="V759" i="2"/>
  <c r="U759" i="2"/>
  <c r="S759" i="2"/>
  <c r="R759" i="2"/>
  <c r="P759" i="2"/>
  <c r="O759" i="2"/>
  <c r="M759" i="2"/>
  <c r="L759" i="2"/>
  <c r="J759" i="2"/>
  <c r="I759" i="2"/>
  <c r="AP758" i="2"/>
  <c r="AM758" i="2"/>
  <c r="AI758" i="2"/>
  <c r="AF758" i="2"/>
  <c r="AC758" i="2"/>
  <c r="Z758" i="2"/>
  <c r="W758" i="2"/>
  <c r="T758" i="2"/>
  <c r="Q758" i="2"/>
  <c r="N758" i="2"/>
  <c r="K758" i="2"/>
  <c r="AP757" i="2"/>
  <c r="AM757" i="2"/>
  <c r="AI757" i="2"/>
  <c r="AE757" i="2"/>
  <c r="AD757" i="2"/>
  <c r="AC757" i="2"/>
  <c r="Z757" i="2"/>
  <c r="W757" i="2"/>
  <c r="T757" i="2"/>
  <c r="Q757" i="2"/>
  <c r="N757" i="2"/>
  <c r="K757" i="2"/>
  <c r="AO756" i="2"/>
  <c r="AN756" i="2"/>
  <c r="AK756" i="2"/>
  <c r="AJ756" i="2"/>
  <c r="AH756" i="2"/>
  <c r="AG756" i="2"/>
  <c r="AA756" i="2"/>
  <c r="S756" i="2"/>
  <c r="R756" i="2"/>
  <c r="P756" i="2"/>
  <c r="O756" i="2"/>
  <c r="M756" i="2"/>
  <c r="L756" i="2"/>
  <c r="J756" i="2"/>
  <c r="I756" i="2"/>
  <c r="AP755" i="2"/>
  <c r="AM755" i="2"/>
  <c r="AI755" i="2"/>
  <c r="AF755" i="2"/>
  <c r="AC755" i="2"/>
  <c r="Z755" i="2"/>
  <c r="W755" i="2"/>
  <c r="T755" i="2"/>
  <c r="Q755" i="2"/>
  <c r="N755" i="2"/>
  <c r="K755" i="2"/>
  <c r="AP754" i="2"/>
  <c r="AM754" i="2"/>
  <c r="AI754" i="2"/>
  <c r="AF754" i="2"/>
  <c r="AC754" i="2"/>
  <c r="Z754" i="2"/>
  <c r="W754" i="2"/>
  <c r="T754" i="2"/>
  <c r="Q754" i="2"/>
  <c r="N754" i="2"/>
  <c r="K754" i="2"/>
  <c r="AP753" i="2"/>
  <c r="AM753" i="2"/>
  <c r="AI753" i="2"/>
  <c r="AE753" i="2"/>
  <c r="AD753" i="2"/>
  <c r="AC753" i="2"/>
  <c r="Z753" i="2"/>
  <c r="W753" i="2"/>
  <c r="T753" i="2"/>
  <c r="Q753" i="2"/>
  <c r="N753" i="2"/>
  <c r="K753" i="2"/>
  <c r="AO752" i="2"/>
  <c r="AN752" i="2"/>
  <c r="AK752" i="2"/>
  <c r="AJ752" i="2"/>
  <c r="AH752" i="2"/>
  <c r="AG752" i="2"/>
  <c r="AA752" i="2"/>
  <c r="Y752" i="2"/>
  <c r="X752" i="2"/>
  <c r="V752" i="2"/>
  <c r="U752" i="2"/>
  <c r="S752" i="2"/>
  <c r="R752" i="2"/>
  <c r="P752" i="2"/>
  <c r="O752" i="2"/>
  <c r="M752" i="2"/>
  <c r="L752" i="2"/>
  <c r="J752" i="2"/>
  <c r="I752" i="2"/>
  <c r="AP751" i="2"/>
  <c r="AM751" i="2"/>
  <c r="AI751" i="2"/>
  <c r="AF751" i="2"/>
  <c r="AC751" i="2"/>
  <c r="Z751" i="2"/>
  <c r="W751" i="2"/>
  <c r="T751" i="2"/>
  <c r="Q751" i="2"/>
  <c r="N751" i="2"/>
  <c r="K751" i="2"/>
  <c r="AP750" i="2"/>
  <c r="AM750" i="2"/>
  <c r="AI750" i="2"/>
  <c r="AF750" i="2"/>
  <c r="AC750" i="2"/>
  <c r="Z750" i="2"/>
  <c r="W750" i="2"/>
  <c r="T750" i="2"/>
  <c r="Q750" i="2"/>
  <c r="N750" i="2"/>
  <c r="K750" i="2"/>
  <c r="AP749" i="2"/>
  <c r="AM749" i="2"/>
  <c r="AI749" i="2"/>
  <c r="AF749" i="2"/>
  <c r="AC749" i="2"/>
  <c r="Z749" i="2"/>
  <c r="W749" i="2"/>
  <c r="T749" i="2"/>
  <c r="Q749" i="2"/>
  <c r="N749" i="2"/>
  <c r="K749" i="2"/>
  <c r="AP748" i="2"/>
  <c r="AM748" i="2"/>
  <c r="AI748" i="2"/>
  <c r="AE748" i="2"/>
  <c r="AD748" i="2"/>
  <c r="AC748" i="2"/>
  <c r="Z748" i="2"/>
  <c r="W748" i="2"/>
  <c r="T748" i="2"/>
  <c r="Q748" i="2"/>
  <c r="N748" i="2"/>
  <c r="K748" i="2"/>
  <c r="AO747" i="2"/>
  <c r="AN747" i="2"/>
  <c r="AK747" i="2"/>
  <c r="AJ747" i="2"/>
  <c r="AH747" i="2"/>
  <c r="AG747" i="2"/>
  <c r="AA747" i="2"/>
  <c r="Y747" i="2"/>
  <c r="X747" i="2"/>
  <c r="V747" i="2"/>
  <c r="U747" i="2"/>
  <c r="S747" i="2"/>
  <c r="R747" i="2"/>
  <c r="P747" i="2"/>
  <c r="O747" i="2"/>
  <c r="M747" i="2"/>
  <c r="L747" i="2"/>
  <c r="J747" i="2"/>
  <c r="I747" i="2"/>
  <c r="AR763" i="2"/>
  <c r="Q733" i="2"/>
  <c r="Q734" i="2"/>
  <c r="Q735" i="2"/>
  <c r="K725" i="2"/>
  <c r="K726" i="2"/>
  <c r="N725" i="2"/>
  <c r="N726" i="2"/>
  <c r="Q725" i="2"/>
  <c r="Q726" i="2"/>
  <c r="Z725" i="2"/>
  <c r="W725" i="2"/>
  <c r="W726" i="2"/>
  <c r="T725" i="2"/>
  <c r="Z732" i="2"/>
  <c r="Z733" i="2"/>
  <c r="Z734" i="2"/>
  <c r="Z735" i="2"/>
  <c r="AC725" i="2"/>
  <c r="AC726" i="2"/>
  <c r="AF725" i="2"/>
  <c r="AI725" i="2"/>
  <c r="AI726" i="2"/>
  <c r="AM725" i="2"/>
  <c r="AH731" i="2"/>
  <c r="AG731" i="2"/>
  <c r="AK731" i="2"/>
  <c r="AJ731" i="2"/>
  <c r="AN731" i="2"/>
  <c r="AO731" i="2"/>
  <c r="AP725" i="2"/>
  <c r="AP726" i="2"/>
  <c r="AP732" i="2"/>
  <c r="AP733" i="2"/>
  <c r="AP734" i="2"/>
  <c r="AM732" i="2"/>
  <c r="AM733" i="2"/>
  <c r="AM734" i="2"/>
  <c r="AI732" i="2"/>
  <c r="AI733" i="2"/>
  <c r="AI734" i="2"/>
  <c r="AC732" i="2"/>
  <c r="AC733" i="2"/>
  <c r="AC734" i="2"/>
  <c r="W732" i="2"/>
  <c r="W733" i="2"/>
  <c r="W734" i="2"/>
  <c r="T732" i="2"/>
  <c r="T733" i="2"/>
  <c r="T734" i="2"/>
  <c r="Q732" i="2"/>
  <c r="N732" i="2"/>
  <c r="N733" i="2"/>
  <c r="N734" i="2"/>
  <c r="K732" i="2"/>
  <c r="K733" i="2"/>
  <c r="K734" i="2"/>
  <c r="AB731" i="2"/>
  <c r="AA731" i="2"/>
  <c r="Y731" i="2"/>
  <c r="X731" i="2"/>
  <c r="V731" i="2"/>
  <c r="U731" i="2"/>
  <c r="S731" i="2"/>
  <c r="R731" i="2"/>
  <c r="P731" i="2"/>
  <c r="O731" i="2"/>
  <c r="M731" i="2"/>
  <c r="L731" i="2"/>
  <c r="J731" i="2"/>
  <c r="I731" i="2"/>
  <c r="Q30" i="2"/>
  <c r="Q31" i="2"/>
  <c r="N30" i="2"/>
  <c r="N31" i="2"/>
  <c r="K30" i="2"/>
  <c r="K31" i="2"/>
  <c r="AP19" i="2"/>
  <c r="AP20" i="2"/>
  <c r="AP21" i="2"/>
  <c r="AP22" i="2"/>
  <c r="AP23" i="2"/>
  <c r="AM19" i="2"/>
  <c r="AM20" i="2"/>
  <c r="AM21" i="2"/>
  <c r="AM22" i="2"/>
  <c r="AM23" i="2"/>
  <c r="AI19" i="2"/>
  <c r="AI20" i="2"/>
  <c r="AI21" i="2"/>
  <c r="AI22" i="2"/>
  <c r="AI23" i="2"/>
  <c r="AF19" i="2"/>
  <c r="AF20" i="2"/>
  <c r="AF21" i="2"/>
  <c r="AF22" i="2"/>
  <c r="AF23" i="2"/>
  <c r="AC19" i="2"/>
  <c r="AC20" i="2"/>
  <c r="AC21" i="2"/>
  <c r="AC22" i="2"/>
  <c r="AC23" i="2"/>
  <c r="Z19" i="2"/>
  <c r="Z20" i="2"/>
  <c r="Z21" i="2"/>
  <c r="Z22" i="2"/>
  <c r="Z23" i="2"/>
  <c r="W19" i="2"/>
  <c r="W20" i="2"/>
  <c r="W21" i="2"/>
  <c r="W22" i="2"/>
  <c r="W23" i="2"/>
  <c r="T19" i="2"/>
  <c r="T20" i="2"/>
  <c r="T21" i="2"/>
  <c r="T22" i="2"/>
  <c r="T23" i="2"/>
  <c r="Q19" i="2"/>
  <c r="Q20" i="2"/>
  <c r="Q21" i="2"/>
  <c r="Q22" i="2"/>
  <c r="Q23" i="2"/>
  <c r="N19" i="2"/>
  <c r="N20" i="2"/>
  <c r="N21" i="2"/>
  <c r="N22" i="2"/>
  <c r="N23" i="2"/>
  <c r="AP743" i="2"/>
  <c r="AM743" i="2"/>
  <c r="AI743" i="2"/>
  <c r="AF743" i="2"/>
  <c r="AC743" i="2"/>
  <c r="Z743" i="2"/>
  <c r="W743" i="2"/>
  <c r="T743" i="2"/>
  <c r="Q743" i="2"/>
  <c r="N743" i="2"/>
  <c r="K743" i="2"/>
  <c r="AP742" i="2"/>
  <c r="AM742" i="2"/>
  <c r="AI742" i="2"/>
  <c r="AF742" i="2"/>
  <c r="AC742" i="2"/>
  <c r="Z742" i="2"/>
  <c r="W742" i="2"/>
  <c r="T742" i="2"/>
  <c r="Q742" i="2"/>
  <c r="N742" i="2"/>
  <c r="K742" i="2"/>
  <c r="AP741" i="2"/>
  <c r="AM741" i="2"/>
  <c r="AI741" i="2"/>
  <c r="AE741" i="2"/>
  <c r="AD741" i="2"/>
  <c r="AC741" i="2"/>
  <c r="Z741" i="2"/>
  <c r="W741" i="2"/>
  <c r="T741" i="2"/>
  <c r="Q741" i="2"/>
  <c r="N741" i="2"/>
  <c r="K741" i="2"/>
  <c r="AO740" i="2"/>
  <c r="AN740" i="2"/>
  <c r="AK740" i="2"/>
  <c r="AJ740" i="2"/>
  <c r="AH740" i="2"/>
  <c r="AG740" i="2"/>
  <c r="AB740" i="2"/>
  <c r="AA740" i="2"/>
  <c r="Y740" i="2"/>
  <c r="X740" i="2"/>
  <c r="V740" i="2"/>
  <c r="U740" i="2"/>
  <c r="S740" i="2"/>
  <c r="R740" i="2"/>
  <c r="P740" i="2"/>
  <c r="O740" i="2"/>
  <c r="M740" i="2"/>
  <c r="L740" i="2"/>
  <c r="J740" i="2"/>
  <c r="I740" i="2"/>
  <c r="AP739" i="2"/>
  <c r="AM739" i="2"/>
  <c r="AI739" i="2"/>
  <c r="AF739" i="2"/>
  <c r="AC739" i="2"/>
  <c r="Z739" i="2"/>
  <c r="W739" i="2"/>
  <c r="T739" i="2"/>
  <c r="Q739" i="2"/>
  <c r="N739" i="2"/>
  <c r="K739" i="2"/>
  <c r="AP738" i="2"/>
  <c r="AM738" i="2"/>
  <c r="AI738" i="2"/>
  <c r="AF738" i="2"/>
  <c r="AC738" i="2"/>
  <c r="Z738" i="2"/>
  <c r="W738" i="2"/>
  <c r="T738" i="2"/>
  <c r="Q738" i="2"/>
  <c r="N738" i="2"/>
  <c r="K738" i="2"/>
  <c r="AP737" i="2"/>
  <c r="AM737" i="2"/>
  <c r="AI737" i="2"/>
  <c r="AE737" i="2"/>
  <c r="AD737" i="2"/>
  <c r="AC737" i="2"/>
  <c r="Z737" i="2"/>
  <c r="W737" i="2"/>
  <c r="T737" i="2"/>
  <c r="Q737" i="2"/>
  <c r="N737" i="2"/>
  <c r="K737" i="2"/>
  <c r="AO736" i="2"/>
  <c r="AN736" i="2"/>
  <c r="AK736" i="2"/>
  <c r="AJ736" i="2"/>
  <c r="AH736" i="2"/>
  <c r="AG736" i="2"/>
  <c r="AB736" i="2"/>
  <c r="AA736" i="2"/>
  <c r="Y736" i="2"/>
  <c r="X736" i="2"/>
  <c r="V736" i="2"/>
  <c r="U736" i="2"/>
  <c r="S736" i="2"/>
  <c r="R736" i="2"/>
  <c r="P736" i="2"/>
  <c r="O736" i="2"/>
  <c r="M736" i="2"/>
  <c r="L736" i="2"/>
  <c r="J736" i="2"/>
  <c r="I736" i="2"/>
  <c r="AP735" i="2"/>
  <c r="AM735" i="2"/>
  <c r="AI735" i="2"/>
  <c r="AE735" i="2"/>
  <c r="AE731" i="2" s="1"/>
  <c r="AC735" i="2"/>
  <c r="W735" i="2"/>
  <c r="T735" i="2"/>
  <c r="N735" i="2"/>
  <c r="K735" i="2"/>
  <c r="AP730" i="2"/>
  <c r="AM730" i="2"/>
  <c r="AI730" i="2"/>
  <c r="AF730" i="2"/>
  <c r="AC730" i="2"/>
  <c r="Z730" i="2"/>
  <c r="W730" i="2"/>
  <c r="T730" i="2"/>
  <c r="Q730" i="2"/>
  <c r="N730" i="2"/>
  <c r="K730" i="2"/>
  <c r="AP729" i="2"/>
  <c r="AM729" i="2"/>
  <c r="AI729" i="2"/>
  <c r="AF729" i="2"/>
  <c r="AC729" i="2"/>
  <c r="Z729" i="2"/>
  <c r="W729" i="2"/>
  <c r="T729" i="2"/>
  <c r="Q729" i="2"/>
  <c r="N729" i="2"/>
  <c r="K729" i="2"/>
  <c r="AP728" i="2"/>
  <c r="AM728" i="2"/>
  <c r="AI728" i="2"/>
  <c r="AE728" i="2"/>
  <c r="AD728" i="2"/>
  <c r="AC728" i="2"/>
  <c r="Z728" i="2"/>
  <c r="W728" i="2"/>
  <c r="T728" i="2"/>
  <c r="Q728" i="2"/>
  <c r="N728" i="2"/>
  <c r="K728" i="2"/>
  <c r="AO727" i="2"/>
  <c r="AN727" i="2"/>
  <c r="AK727" i="2"/>
  <c r="AJ727" i="2"/>
  <c r="AH727" i="2"/>
  <c r="AG727" i="2"/>
  <c r="AB727" i="2"/>
  <c r="AA727" i="2"/>
  <c r="Y727" i="2"/>
  <c r="X727" i="2"/>
  <c r="V727" i="2"/>
  <c r="U727" i="2"/>
  <c r="S727" i="2"/>
  <c r="R727" i="2"/>
  <c r="P727" i="2"/>
  <c r="O727" i="2"/>
  <c r="M727" i="2"/>
  <c r="L727" i="2"/>
  <c r="J727" i="2"/>
  <c r="I727" i="2"/>
  <c r="AM726" i="2"/>
  <c r="AF726" i="2"/>
  <c r="Z726" i="2"/>
  <c r="T726" i="2"/>
  <c r="AP724" i="2"/>
  <c r="AM724" i="2"/>
  <c r="AI724" i="2"/>
  <c r="AE724" i="2"/>
  <c r="AD724" i="2"/>
  <c r="AC724" i="2"/>
  <c r="Z724" i="2"/>
  <c r="W724" i="2"/>
  <c r="T724" i="2"/>
  <c r="Q724" i="2"/>
  <c r="N724" i="2"/>
  <c r="K724" i="2"/>
  <c r="AO723" i="2"/>
  <c r="AN723" i="2"/>
  <c r="AK723" i="2"/>
  <c r="AJ723" i="2"/>
  <c r="AH723" i="2"/>
  <c r="AG723" i="2"/>
  <c r="AA723" i="2"/>
  <c r="S723" i="2"/>
  <c r="R723" i="2"/>
  <c r="P723" i="2"/>
  <c r="O723" i="2"/>
  <c r="M723" i="2"/>
  <c r="L723" i="2"/>
  <c r="J723" i="2"/>
  <c r="I723" i="2"/>
  <c r="AP722" i="2"/>
  <c r="AM722" i="2"/>
  <c r="AI722" i="2"/>
  <c r="AF722" i="2"/>
  <c r="AC722" i="2"/>
  <c r="Z722" i="2"/>
  <c r="W722" i="2"/>
  <c r="T722" i="2"/>
  <c r="Q722" i="2"/>
  <c r="N722" i="2"/>
  <c r="K722" i="2"/>
  <c r="AP721" i="2"/>
  <c r="AM721" i="2"/>
  <c r="AI721" i="2"/>
  <c r="AF721" i="2"/>
  <c r="AC721" i="2"/>
  <c r="Z721" i="2"/>
  <c r="W721" i="2"/>
  <c r="T721" i="2"/>
  <c r="Q721" i="2"/>
  <c r="N721" i="2"/>
  <c r="K721" i="2"/>
  <c r="AP720" i="2"/>
  <c r="AM720" i="2"/>
  <c r="AI720" i="2"/>
  <c r="AF720" i="2"/>
  <c r="AC720" i="2"/>
  <c r="Z720" i="2"/>
  <c r="W720" i="2"/>
  <c r="T720" i="2"/>
  <c r="Q720" i="2"/>
  <c r="N720" i="2"/>
  <c r="K720" i="2"/>
  <c r="AP719" i="2"/>
  <c r="AM719" i="2"/>
  <c r="AI719" i="2"/>
  <c r="AF719" i="2"/>
  <c r="AC719" i="2"/>
  <c r="Z719" i="2"/>
  <c r="W719" i="2"/>
  <c r="T719" i="2"/>
  <c r="Q719" i="2"/>
  <c r="N719" i="2"/>
  <c r="K719" i="2"/>
  <c r="AP718" i="2"/>
  <c r="AM718" i="2"/>
  <c r="AI718" i="2"/>
  <c r="AE718" i="2"/>
  <c r="AD718" i="2"/>
  <c r="AC718" i="2"/>
  <c r="Z718" i="2"/>
  <c r="W718" i="2"/>
  <c r="T718" i="2"/>
  <c r="Q718" i="2"/>
  <c r="N718" i="2"/>
  <c r="K718" i="2"/>
  <c r="AO717" i="2"/>
  <c r="AN717" i="2"/>
  <c r="AK717" i="2"/>
  <c r="AJ717" i="2"/>
  <c r="AH717" i="2"/>
  <c r="AG717" i="2"/>
  <c r="AA717" i="2"/>
  <c r="Y717" i="2"/>
  <c r="X717" i="2"/>
  <c r="V717" i="2"/>
  <c r="U717" i="2"/>
  <c r="S717" i="2"/>
  <c r="R717" i="2"/>
  <c r="P717" i="2"/>
  <c r="O717" i="2"/>
  <c r="M717" i="2"/>
  <c r="L717" i="2"/>
  <c r="J717" i="2"/>
  <c r="I717" i="2"/>
  <c r="AP716" i="2"/>
  <c r="AM716" i="2"/>
  <c r="AI716" i="2"/>
  <c r="AF716" i="2"/>
  <c r="AC716" i="2"/>
  <c r="Z716" i="2"/>
  <c r="W716" i="2"/>
  <c r="T716" i="2"/>
  <c r="Q716" i="2"/>
  <c r="N716" i="2"/>
  <c r="K716" i="2"/>
  <c r="AP715" i="2"/>
  <c r="AM715" i="2"/>
  <c r="AI715" i="2"/>
  <c r="AF715" i="2"/>
  <c r="AC715" i="2"/>
  <c r="Z715" i="2"/>
  <c r="W715" i="2"/>
  <c r="T715" i="2"/>
  <c r="Q715" i="2"/>
  <c r="N715" i="2"/>
  <c r="K715" i="2"/>
  <c r="AP714" i="2"/>
  <c r="AM714" i="2"/>
  <c r="AI714" i="2"/>
  <c r="AF714" i="2"/>
  <c r="AC714" i="2"/>
  <c r="Z714" i="2"/>
  <c r="W714" i="2"/>
  <c r="T714" i="2"/>
  <c r="Q714" i="2"/>
  <c r="N714" i="2"/>
  <c r="K714" i="2"/>
  <c r="AP713" i="2"/>
  <c r="AM713" i="2"/>
  <c r="AI713" i="2"/>
  <c r="AE713" i="2"/>
  <c r="AC713" i="2"/>
  <c r="Z713" i="2"/>
  <c r="W713" i="2"/>
  <c r="T713" i="2"/>
  <c r="Q713" i="2"/>
  <c r="N713" i="2"/>
  <c r="K713" i="2"/>
  <c r="AO712" i="2"/>
  <c r="AN712" i="2"/>
  <c r="AK712" i="2"/>
  <c r="AJ712" i="2"/>
  <c r="AH712" i="2"/>
  <c r="AG712" i="2"/>
  <c r="AA712" i="2"/>
  <c r="Y712" i="2"/>
  <c r="X712" i="2"/>
  <c r="V712" i="2"/>
  <c r="U712" i="2"/>
  <c r="S712" i="2"/>
  <c r="R712" i="2"/>
  <c r="P712" i="2"/>
  <c r="O712" i="2"/>
  <c r="M712" i="2"/>
  <c r="L712" i="2"/>
  <c r="J712" i="2"/>
  <c r="I712" i="2"/>
  <c r="AR744" i="2"/>
  <c r="AP703" i="2"/>
  <c r="AP704" i="2"/>
  <c r="AM703" i="2"/>
  <c r="AM704" i="2"/>
  <c r="AI703" i="2"/>
  <c r="AI704" i="2"/>
  <c r="AF703" i="2"/>
  <c r="AF704" i="2"/>
  <c r="AC703" i="2"/>
  <c r="AC704" i="2"/>
  <c r="Z703" i="2"/>
  <c r="Z704" i="2"/>
  <c r="W703" i="2"/>
  <c r="W704" i="2"/>
  <c r="T703" i="2"/>
  <c r="T704" i="2"/>
  <c r="Q703" i="2"/>
  <c r="Q704" i="2"/>
  <c r="N703" i="2"/>
  <c r="N704" i="2"/>
  <c r="K703" i="2"/>
  <c r="K704" i="2"/>
  <c r="AP696" i="2"/>
  <c r="AP697" i="2"/>
  <c r="AP698" i="2"/>
  <c r="AP699" i="2"/>
  <c r="AP700" i="2"/>
  <c r="AM696" i="2"/>
  <c r="AM697" i="2"/>
  <c r="AM698" i="2"/>
  <c r="AM699" i="2"/>
  <c r="AM700" i="2"/>
  <c r="AI696" i="2"/>
  <c r="AI697" i="2"/>
  <c r="AI698" i="2"/>
  <c r="AI699" i="2"/>
  <c r="AF696" i="2"/>
  <c r="AF697" i="2"/>
  <c r="AF698" i="2"/>
  <c r="AF699" i="2"/>
  <c r="AC696" i="2"/>
  <c r="AC697" i="2"/>
  <c r="AC698" i="2"/>
  <c r="AC699" i="2"/>
  <c r="Z696" i="2"/>
  <c r="Z697" i="2"/>
  <c r="Z698" i="2"/>
  <c r="Z699" i="2"/>
  <c r="W696" i="2"/>
  <c r="W697" i="2"/>
  <c r="W698" i="2"/>
  <c r="W699" i="2"/>
  <c r="T696" i="2"/>
  <c r="T697" i="2"/>
  <c r="T698" i="2"/>
  <c r="T699" i="2"/>
  <c r="O694" i="2"/>
  <c r="Q696" i="2"/>
  <c r="Q697" i="2"/>
  <c r="Q698" i="2"/>
  <c r="Q699" i="2"/>
  <c r="N696" i="2"/>
  <c r="N697" i="2"/>
  <c r="N698" i="2"/>
  <c r="N699" i="2"/>
  <c r="K696" i="2"/>
  <c r="K697" i="2"/>
  <c r="K698" i="2"/>
  <c r="K699" i="2"/>
  <c r="AF636" i="2" l="1"/>
  <c r="AQ636" i="2" s="1"/>
  <c r="R763" i="2"/>
  <c r="AC637" i="2"/>
  <c r="V641" i="2"/>
  <c r="AI628" i="2"/>
  <c r="J763" i="2"/>
  <c r="AO763" i="2"/>
  <c r="Q50" i="3" s="1"/>
  <c r="T633" i="2"/>
  <c r="AP628" i="2"/>
  <c r="N635" i="2"/>
  <c r="Z637" i="2"/>
  <c r="Q633" i="2"/>
  <c r="V763" i="2"/>
  <c r="Y763" i="2"/>
  <c r="AQ699" i="2"/>
  <c r="AA763" i="2"/>
  <c r="AI639" i="2"/>
  <c r="S763" i="2"/>
  <c r="U763" i="2"/>
  <c r="X763" i="2"/>
  <c r="AQ758" i="2"/>
  <c r="AQ607" i="2"/>
  <c r="I641" i="2"/>
  <c r="AA641" i="2"/>
  <c r="AM628" i="2"/>
  <c r="AQ734" i="2"/>
  <c r="AG763" i="2"/>
  <c r="J50" i="3" s="1"/>
  <c r="L50" i="3" s="1"/>
  <c r="AQ733" i="2"/>
  <c r="L763" i="2"/>
  <c r="AH763" i="2"/>
  <c r="AQ732" i="2"/>
  <c r="M763" i="2"/>
  <c r="AJ763" i="2"/>
  <c r="M50" i="3" s="1"/>
  <c r="O763" i="2"/>
  <c r="AK763" i="2"/>
  <c r="N50" i="3" s="1"/>
  <c r="Q639" i="2"/>
  <c r="P763" i="2"/>
  <c r="AN763" i="2"/>
  <c r="P50" i="3" s="1"/>
  <c r="AB763" i="2"/>
  <c r="Z635" i="2"/>
  <c r="T639" i="2"/>
  <c r="AF735" i="2"/>
  <c r="AQ735" i="2" s="1"/>
  <c r="AP633" i="2"/>
  <c r="AO641" i="2"/>
  <c r="Q42" i="3" s="1"/>
  <c r="AP639" i="2"/>
  <c r="W633" i="2"/>
  <c r="AK641" i="2"/>
  <c r="N42" i="3" s="1"/>
  <c r="AJ641" i="2"/>
  <c r="M42" i="3" s="1"/>
  <c r="T628" i="2"/>
  <c r="O641" i="2"/>
  <c r="M641" i="2"/>
  <c r="L641" i="2"/>
  <c r="AC623" i="2"/>
  <c r="AQ761" i="2"/>
  <c r="P620" i="2"/>
  <c r="AK620" i="2"/>
  <c r="N41" i="3" s="1"/>
  <c r="AH641" i="2"/>
  <c r="K42" i="3" s="1"/>
  <c r="K633" i="2"/>
  <c r="Q635" i="2"/>
  <c r="R620" i="2"/>
  <c r="AN620" i="2"/>
  <c r="P41" i="3" s="1"/>
  <c r="N633" i="2"/>
  <c r="AC639" i="2"/>
  <c r="S641" i="2"/>
  <c r="AI633" i="2"/>
  <c r="W623" i="2"/>
  <c r="K628" i="2"/>
  <c r="AC628" i="2"/>
  <c r="AM633" i="2"/>
  <c r="AG641" i="2"/>
  <c r="J42" i="3" s="1"/>
  <c r="X641" i="2"/>
  <c r="Y641" i="2"/>
  <c r="AF638" i="2"/>
  <c r="AQ638" i="2" s="1"/>
  <c r="L620" i="2"/>
  <c r="AG620" i="2"/>
  <c r="J41" i="3" s="1"/>
  <c r="AE623" i="2"/>
  <c r="Q637" i="2"/>
  <c r="R641" i="2"/>
  <c r="AF624" i="2"/>
  <c r="AQ624" i="2" s="1"/>
  <c r="AC633" i="2"/>
  <c r="AC635" i="2"/>
  <c r="AM637" i="2"/>
  <c r="U620" i="2"/>
  <c r="AP623" i="2"/>
  <c r="AQ625" i="2"/>
  <c r="AI635" i="2"/>
  <c r="T637" i="2"/>
  <c r="U641" i="2"/>
  <c r="V620" i="2"/>
  <c r="J641" i="2"/>
  <c r="X620" i="2"/>
  <c r="M620" i="2"/>
  <c r="AH620" i="2"/>
  <c r="K41" i="3" s="1"/>
  <c r="Y620" i="2"/>
  <c r="AF632" i="2"/>
  <c r="AQ632" i="2" s="1"/>
  <c r="T635" i="2"/>
  <c r="AM635" i="2"/>
  <c r="I620" i="2"/>
  <c r="AE628" i="2"/>
  <c r="AO620" i="2"/>
  <c r="Q41" i="3" s="1"/>
  <c r="J620" i="2"/>
  <c r="AB620" i="2"/>
  <c r="K623" i="2"/>
  <c r="S620" i="2"/>
  <c r="AA620" i="2"/>
  <c r="O620" i="2"/>
  <c r="AN641" i="2"/>
  <c r="P42" i="3" s="1"/>
  <c r="P641" i="2"/>
  <c r="AB641" i="2"/>
  <c r="AJ620" i="2"/>
  <c r="M41" i="3" s="1"/>
  <c r="AF626" i="2"/>
  <c r="AQ626" i="2" s="1"/>
  <c r="AF627" i="2"/>
  <c r="AQ627" i="2" s="1"/>
  <c r="Z633" i="2"/>
  <c r="N637" i="2"/>
  <c r="AM639" i="2"/>
  <c r="Q628" i="2"/>
  <c r="AF629" i="2"/>
  <c r="AQ629" i="2" s="1"/>
  <c r="AQ630" i="2"/>
  <c r="AI637" i="2"/>
  <c r="AD639" i="2"/>
  <c r="Z639" i="2"/>
  <c r="N623" i="2"/>
  <c r="AE639" i="2"/>
  <c r="Q623" i="2"/>
  <c r="AI623" i="2"/>
  <c r="AD633" i="2"/>
  <c r="AF634" i="2"/>
  <c r="AQ634" i="2" s="1"/>
  <c r="T623" i="2"/>
  <c r="AM623" i="2"/>
  <c r="W628" i="2"/>
  <c r="W637" i="2"/>
  <c r="AP637" i="2"/>
  <c r="W635" i="2"/>
  <c r="AP635" i="2"/>
  <c r="AF640" i="2"/>
  <c r="AQ640" i="2" s="1"/>
  <c r="AD635" i="2"/>
  <c r="Z628" i="2"/>
  <c r="AE633" i="2"/>
  <c r="AE635" i="2"/>
  <c r="AD637" i="2"/>
  <c r="AE637" i="2"/>
  <c r="W639" i="2"/>
  <c r="AD623" i="2"/>
  <c r="Z623" i="2"/>
  <c r="K639" i="2"/>
  <c r="N639" i="2"/>
  <c r="K637" i="2"/>
  <c r="K635" i="2"/>
  <c r="AQ631" i="2"/>
  <c r="N628" i="2"/>
  <c r="AD628" i="2"/>
  <c r="T610" i="2"/>
  <c r="AP610" i="2"/>
  <c r="AM610" i="2"/>
  <c r="AC603" i="2"/>
  <c r="AQ617" i="2"/>
  <c r="N610" i="2"/>
  <c r="AC615" i="2"/>
  <c r="Q603" i="2"/>
  <c r="T615" i="2"/>
  <c r="AP615" i="2"/>
  <c r="K591" i="2"/>
  <c r="N591" i="2"/>
  <c r="AI591" i="2"/>
  <c r="AM603" i="2"/>
  <c r="Z612" i="2"/>
  <c r="N615" i="2"/>
  <c r="AI615" i="2"/>
  <c r="AI600" i="2"/>
  <c r="W610" i="2"/>
  <c r="K610" i="2"/>
  <c r="AF605" i="2"/>
  <c r="AQ605" i="2" s="1"/>
  <c r="AF606" i="2"/>
  <c r="AQ606" i="2" s="1"/>
  <c r="AI610" i="2"/>
  <c r="T612" i="2"/>
  <c r="Z615" i="2"/>
  <c r="W612" i="2"/>
  <c r="K615" i="2"/>
  <c r="AC591" i="2"/>
  <c r="W600" i="2"/>
  <c r="K603" i="2"/>
  <c r="AE612" i="2"/>
  <c r="AC612" i="2"/>
  <c r="Q615" i="2"/>
  <c r="Z610" i="2"/>
  <c r="N603" i="2"/>
  <c r="AC610" i="2"/>
  <c r="W597" i="2"/>
  <c r="AC600" i="2"/>
  <c r="Q610" i="2"/>
  <c r="W615" i="2"/>
  <c r="AF611" i="2"/>
  <c r="AQ611" i="2" s="1"/>
  <c r="AP612" i="2"/>
  <c r="W587" i="2"/>
  <c r="AD612" i="2"/>
  <c r="AF616" i="2"/>
  <c r="AQ616" i="2" s="1"/>
  <c r="AF618" i="2"/>
  <c r="AQ618" i="2" s="1"/>
  <c r="AF619" i="2"/>
  <c r="AQ619" i="2" s="1"/>
  <c r="AM615" i="2"/>
  <c r="N612" i="2"/>
  <c r="K587" i="2"/>
  <c r="AC587" i="2"/>
  <c r="Q591" i="2"/>
  <c r="AE610" i="2"/>
  <c r="Q612" i="2"/>
  <c r="AI612" i="2"/>
  <c r="AF613" i="2"/>
  <c r="AQ613" i="2" s="1"/>
  <c r="AF614" i="2"/>
  <c r="AQ614" i="2" s="1"/>
  <c r="AD615" i="2"/>
  <c r="AE615" i="2"/>
  <c r="K612" i="2"/>
  <c r="AM612" i="2"/>
  <c r="AD610" i="2"/>
  <c r="AF598" i="2"/>
  <c r="AQ598" i="2" s="1"/>
  <c r="Z603" i="2"/>
  <c r="AE603" i="2"/>
  <c r="Z600" i="2"/>
  <c r="AF589" i="2"/>
  <c r="AQ589" i="2" s="1"/>
  <c r="AF590" i="2"/>
  <c r="AQ590" i="2" s="1"/>
  <c r="Q587" i="2"/>
  <c r="AP591" i="2"/>
  <c r="Z597" i="2"/>
  <c r="Z591" i="2"/>
  <c r="K597" i="2"/>
  <c r="AC597" i="2"/>
  <c r="AP603" i="2"/>
  <c r="AE591" i="2"/>
  <c r="N600" i="2"/>
  <c r="AD597" i="2"/>
  <c r="AI597" i="2"/>
  <c r="Q600" i="2"/>
  <c r="AI603" i="2"/>
  <c r="Q597" i="2"/>
  <c r="T603" i="2"/>
  <c r="AI587" i="2"/>
  <c r="AF592" i="2"/>
  <c r="AQ592" i="2" s="1"/>
  <c r="AF595" i="2"/>
  <c r="AQ595" i="2" s="1"/>
  <c r="T597" i="2"/>
  <c r="AM597" i="2"/>
  <c r="AF599" i="2"/>
  <c r="AQ599" i="2" s="1"/>
  <c r="AP600" i="2"/>
  <c r="W603" i="2"/>
  <c r="AF604" i="2"/>
  <c r="AQ604" i="2" s="1"/>
  <c r="AF608" i="2"/>
  <c r="AQ608" i="2" s="1"/>
  <c r="AF609" i="2"/>
  <c r="AQ609" i="2" s="1"/>
  <c r="AM591" i="2"/>
  <c r="AP597" i="2"/>
  <c r="W591" i="2"/>
  <c r="AD603" i="2"/>
  <c r="AM587" i="2"/>
  <c r="N597" i="2"/>
  <c r="K600" i="2"/>
  <c r="T587" i="2"/>
  <c r="AP587" i="2"/>
  <c r="T591" i="2"/>
  <c r="AF596" i="2"/>
  <c r="AQ596" i="2" s="1"/>
  <c r="AF593" i="2"/>
  <c r="AQ593" i="2" s="1"/>
  <c r="AF594" i="2"/>
  <c r="AQ594" i="2" s="1"/>
  <c r="Z587" i="2"/>
  <c r="AM600" i="2"/>
  <c r="AF601" i="2"/>
  <c r="AQ601" i="2" s="1"/>
  <c r="AF602" i="2"/>
  <c r="AQ602" i="2" s="1"/>
  <c r="AE587" i="2"/>
  <c r="AE597" i="2"/>
  <c r="N587" i="2"/>
  <c r="AF588" i="2"/>
  <c r="AQ588" i="2" s="1"/>
  <c r="AD600" i="2"/>
  <c r="AE600" i="2"/>
  <c r="T600" i="2"/>
  <c r="AD591" i="2"/>
  <c r="AD587" i="2"/>
  <c r="T752" i="2"/>
  <c r="AP756" i="2"/>
  <c r="T756" i="2"/>
  <c r="AA744" i="2"/>
  <c r="AC759" i="2"/>
  <c r="L744" i="2"/>
  <c r="AH744" i="2"/>
  <c r="M744" i="2"/>
  <c r="S744" i="2"/>
  <c r="AM756" i="2"/>
  <c r="I744" i="2"/>
  <c r="J744" i="2"/>
  <c r="AG744" i="2"/>
  <c r="J49" i="3" s="1"/>
  <c r="L49" i="3" s="1"/>
  <c r="I763" i="2"/>
  <c r="AJ744" i="2"/>
  <c r="M49" i="3" s="1"/>
  <c r="O744" i="2"/>
  <c r="AK744" i="2"/>
  <c r="N49" i="3" s="1"/>
  <c r="AN744" i="2"/>
  <c r="P49" i="3" s="1"/>
  <c r="P744" i="2"/>
  <c r="R744" i="2"/>
  <c r="AO744" i="2"/>
  <c r="Q49" i="3" s="1"/>
  <c r="AP747" i="2"/>
  <c r="T747" i="2"/>
  <c r="AP752" i="2"/>
  <c r="AF757" i="2"/>
  <c r="AQ757" i="2" s="1"/>
  <c r="Q752" i="2"/>
  <c r="Z759" i="2"/>
  <c r="N759" i="2"/>
  <c r="AM747" i="2"/>
  <c r="Z752" i="2"/>
  <c r="AF753" i="2"/>
  <c r="AQ753" i="2" s="1"/>
  <c r="AQ755" i="2"/>
  <c r="Q756" i="2"/>
  <c r="AD747" i="2"/>
  <c r="AM752" i="2"/>
  <c r="AI756" i="2"/>
  <c r="W759" i="2"/>
  <c r="N747" i="2"/>
  <c r="Z747" i="2"/>
  <c r="Q747" i="2"/>
  <c r="N756" i="2"/>
  <c r="AF760" i="2"/>
  <c r="AQ760" i="2" s="1"/>
  <c r="Q759" i="2"/>
  <c r="Z756" i="2"/>
  <c r="T759" i="2"/>
  <c r="AP759" i="2"/>
  <c r="N752" i="2"/>
  <c r="AD752" i="2"/>
  <c r="W747" i="2"/>
  <c r="AI752" i="2"/>
  <c r="AD759" i="2"/>
  <c r="AI747" i="2"/>
  <c r="AE759" i="2"/>
  <c r="AI759" i="2"/>
  <c r="AQ751" i="2"/>
  <c r="AQ754" i="2"/>
  <c r="AF748" i="2"/>
  <c r="AQ748" i="2" s="1"/>
  <c r="AQ750" i="2"/>
  <c r="AM759" i="2"/>
  <c r="AQ749" i="2"/>
  <c r="W752" i="2"/>
  <c r="AQ762" i="2"/>
  <c r="K759" i="2"/>
  <c r="K747" i="2"/>
  <c r="K752" i="2"/>
  <c r="K756" i="2"/>
  <c r="Z731" i="2"/>
  <c r="Q731" i="2"/>
  <c r="AP740" i="2"/>
  <c r="K740" i="2"/>
  <c r="AC740" i="2"/>
  <c r="AM717" i="2"/>
  <c r="K723" i="2"/>
  <c r="N740" i="2"/>
  <c r="AI740" i="2"/>
  <c r="AM740" i="2"/>
  <c r="AF741" i="2"/>
  <c r="AQ741" i="2" s="1"/>
  <c r="AQ743" i="2"/>
  <c r="W740" i="2"/>
  <c r="AI717" i="2"/>
  <c r="Z712" i="2"/>
  <c r="N717" i="2"/>
  <c r="N712" i="2"/>
  <c r="AM727" i="2"/>
  <c r="AQ730" i="2"/>
  <c r="Z717" i="2"/>
  <c r="N731" i="2"/>
  <c r="AQ19" i="2"/>
  <c r="AQ714" i="2"/>
  <c r="Q717" i="2"/>
  <c r="AP712" i="2"/>
  <c r="AP717" i="2"/>
  <c r="N723" i="2"/>
  <c r="AC727" i="2"/>
  <c r="T731" i="2"/>
  <c r="AF737" i="2"/>
  <c r="AQ737" i="2" s="1"/>
  <c r="Z740" i="2"/>
  <c r="K712" i="2"/>
  <c r="W717" i="2"/>
  <c r="W712" i="2"/>
  <c r="AF724" i="2"/>
  <c r="AQ724" i="2" s="1"/>
  <c r="AP731" i="2"/>
  <c r="AQ726" i="2"/>
  <c r="AC736" i="2"/>
  <c r="AQ719" i="2"/>
  <c r="AI712" i="2"/>
  <c r="Q723" i="2"/>
  <c r="AF713" i="2"/>
  <c r="AQ713" i="2" s="1"/>
  <c r="Q712" i="2"/>
  <c r="T727" i="2"/>
  <c r="AP727" i="2"/>
  <c r="K731" i="2"/>
  <c r="AM731" i="2"/>
  <c r="T740" i="2"/>
  <c r="AQ21" i="2"/>
  <c r="T717" i="2"/>
  <c r="AP723" i="2"/>
  <c r="Z727" i="2"/>
  <c r="K736" i="2"/>
  <c r="AQ20" i="2"/>
  <c r="K727" i="2"/>
  <c r="N736" i="2"/>
  <c r="AI736" i="2"/>
  <c r="AQ742" i="2"/>
  <c r="AQ716" i="2"/>
  <c r="AD736" i="2"/>
  <c r="AM712" i="2"/>
  <c r="AQ715" i="2"/>
  <c r="AD717" i="2"/>
  <c r="N727" i="2"/>
  <c r="AI727" i="2"/>
  <c r="AF728" i="2"/>
  <c r="AQ728" i="2" s="1"/>
  <c r="AM736" i="2"/>
  <c r="AQ739" i="2"/>
  <c r="T712" i="2"/>
  <c r="T723" i="2"/>
  <c r="AD727" i="2"/>
  <c r="AI731" i="2"/>
  <c r="T736" i="2"/>
  <c r="AP736" i="2"/>
  <c r="AQ738" i="2"/>
  <c r="Z723" i="2"/>
  <c r="AQ729" i="2"/>
  <c r="AF718" i="2"/>
  <c r="AQ718" i="2" s="1"/>
  <c r="AQ722" i="2"/>
  <c r="AI723" i="2"/>
  <c r="W736" i="2"/>
  <c r="AQ721" i="2"/>
  <c r="AD740" i="2"/>
  <c r="AQ23" i="2"/>
  <c r="AQ720" i="2"/>
  <c r="AM723" i="2"/>
  <c r="W727" i="2"/>
  <c r="Z736" i="2"/>
  <c r="AE740" i="2"/>
  <c r="AQ22" i="2"/>
  <c r="Q740" i="2"/>
  <c r="Q727" i="2"/>
  <c r="Q736" i="2"/>
  <c r="K717" i="2"/>
  <c r="AE727" i="2"/>
  <c r="AE736" i="2"/>
  <c r="AD712" i="2"/>
  <c r="AQ703" i="2"/>
  <c r="AQ697" i="2"/>
  <c r="AQ696" i="2"/>
  <c r="AQ698" i="2"/>
  <c r="R50" i="3" l="1"/>
  <c r="T763" i="2"/>
  <c r="O50" i="3"/>
  <c r="R49" i="3"/>
  <c r="L41" i="3"/>
  <c r="O41" i="3"/>
  <c r="O49" i="3"/>
  <c r="R41" i="3"/>
  <c r="AF635" i="2"/>
  <c r="AQ635" i="2" s="1"/>
  <c r="AM763" i="2"/>
  <c r="K763" i="2"/>
  <c r="AI763" i="2"/>
  <c r="Q763" i="2"/>
  <c r="AP763" i="2"/>
  <c r="Z763" i="2"/>
  <c r="N763" i="2"/>
  <c r="AE641" i="2"/>
  <c r="H42" i="3" s="1"/>
  <c r="AF628" i="2"/>
  <c r="AQ628" i="2" s="1"/>
  <c r="N641" i="2"/>
  <c r="AF639" i="2"/>
  <c r="AQ639" i="2" s="1"/>
  <c r="AP641" i="2"/>
  <c r="W641" i="2"/>
  <c r="AF633" i="2"/>
  <c r="AQ633" i="2" s="1"/>
  <c r="AC641" i="2"/>
  <c r="Q641" i="2"/>
  <c r="AF637" i="2"/>
  <c r="AQ637" i="2" s="1"/>
  <c r="AM641" i="2"/>
  <c r="N620" i="2"/>
  <c r="T641" i="2"/>
  <c r="AM620" i="2"/>
  <c r="AC620" i="2"/>
  <c r="AI641" i="2"/>
  <c r="K641" i="2"/>
  <c r="AI620" i="2"/>
  <c r="Z641" i="2"/>
  <c r="AF623" i="2"/>
  <c r="AD641" i="2"/>
  <c r="G42" i="3" s="1"/>
  <c r="K620" i="2"/>
  <c r="AD620" i="2"/>
  <c r="G41" i="3" s="1"/>
  <c r="Z620" i="2"/>
  <c r="Q620" i="2"/>
  <c r="AP620" i="2"/>
  <c r="W620" i="2"/>
  <c r="T620" i="2"/>
  <c r="AE620" i="2"/>
  <c r="H41" i="3" s="1"/>
  <c r="AF603" i="2"/>
  <c r="AQ603" i="2" s="1"/>
  <c r="AF597" i="2"/>
  <c r="AQ597" i="2" s="1"/>
  <c r="AF591" i="2"/>
  <c r="AQ591" i="2" s="1"/>
  <c r="AF612" i="2"/>
  <c r="AF615" i="2"/>
  <c r="AQ615" i="2" s="1"/>
  <c r="AF610" i="2"/>
  <c r="AQ610" i="2" s="1"/>
  <c r="AF587" i="2"/>
  <c r="AF600" i="2"/>
  <c r="AQ600" i="2" s="1"/>
  <c r="T744" i="2"/>
  <c r="Q744" i="2"/>
  <c r="N744" i="2"/>
  <c r="AI744" i="2"/>
  <c r="AM744" i="2"/>
  <c r="Z744" i="2"/>
  <c r="AP744" i="2"/>
  <c r="K744" i="2"/>
  <c r="AF759" i="2"/>
  <c r="AQ759" i="2" s="1"/>
  <c r="AF740" i="2"/>
  <c r="AQ740" i="2" s="1"/>
  <c r="AF736" i="2"/>
  <c r="AQ736" i="2" s="1"/>
  <c r="AF727" i="2"/>
  <c r="AQ727" i="2" s="1"/>
  <c r="K680" i="2"/>
  <c r="K681" i="2"/>
  <c r="N680" i="2"/>
  <c r="N681" i="2"/>
  <c r="Q680" i="2"/>
  <c r="Q681" i="2"/>
  <c r="T680" i="2"/>
  <c r="T681" i="2"/>
  <c r="W680" i="2"/>
  <c r="W681" i="2"/>
  <c r="Z680" i="2"/>
  <c r="Z681" i="2"/>
  <c r="AC680" i="2"/>
  <c r="AC681" i="2"/>
  <c r="AF680" i="2"/>
  <c r="AF681" i="2"/>
  <c r="AI680" i="2"/>
  <c r="AI681" i="2"/>
  <c r="AM680" i="2"/>
  <c r="AM681" i="2"/>
  <c r="AP680" i="2"/>
  <c r="AP681" i="2"/>
  <c r="K674" i="2"/>
  <c r="K675" i="2"/>
  <c r="K676" i="2"/>
  <c r="K677" i="2"/>
  <c r="N674" i="2"/>
  <c r="N675" i="2"/>
  <c r="N676" i="2"/>
  <c r="T674" i="2"/>
  <c r="T675" i="2"/>
  <c r="T676" i="2"/>
  <c r="W674" i="2"/>
  <c r="W675" i="2"/>
  <c r="W676" i="2"/>
  <c r="Z674" i="2"/>
  <c r="Z675" i="2"/>
  <c r="Z676" i="2"/>
  <c r="AC674" i="2"/>
  <c r="AC675" i="2"/>
  <c r="AC676" i="2"/>
  <c r="AF674" i="2"/>
  <c r="AF675" i="2"/>
  <c r="AF676" i="2"/>
  <c r="AI674" i="2"/>
  <c r="AI675" i="2"/>
  <c r="AI676" i="2"/>
  <c r="AM674" i="2"/>
  <c r="AM675" i="2"/>
  <c r="AM676" i="2"/>
  <c r="AP674" i="2"/>
  <c r="AP675" i="2"/>
  <c r="AP676" i="2"/>
  <c r="AP666" i="2"/>
  <c r="AP667" i="2"/>
  <c r="AP668" i="2"/>
  <c r="AM666" i="2"/>
  <c r="AM667" i="2"/>
  <c r="AM668" i="2"/>
  <c r="AI666" i="2"/>
  <c r="AI667" i="2"/>
  <c r="AI668" i="2"/>
  <c r="AF666" i="2"/>
  <c r="AF667" i="2"/>
  <c r="AF668" i="2"/>
  <c r="AC666" i="2"/>
  <c r="AC667" i="2"/>
  <c r="AC668" i="2"/>
  <c r="Z666" i="2"/>
  <c r="Z667" i="2"/>
  <c r="Z668" i="2"/>
  <c r="W666" i="2"/>
  <c r="W667" i="2"/>
  <c r="W668" i="2"/>
  <c r="T666" i="2"/>
  <c r="T667" i="2"/>
  <c r="T668" i="2"/>
  <c r="Q666" i="2"/>
  <c r="Q667" i="2"/>
  <c r="Q668" i="2"/>
  <c r="N666" i="2"/>
  <c r="N667" i="2"/>
  <c r="N668" i="2"/>
  <c r="K666" i="2"/>
  <c r="K667" i="2"/>
  <c r="K668" i="2"/>
  <c r="Q674" i="2"/>
  <c r="Q675" i="2"/>
  <c r="Q676" i="2"/>
  <c r="AP653" i="2"/>
  <c r="AM653" i="2"/>
  <c r="AI653" i="2"/>
  <c r="AF653" i="2"/>
  <c r="AC653" i="2"/>
  <c r="Z653" i="2"/>
  <c r="W653" i="2"/>
  <c r="T653" i="2"/>
  <c r="Q653" i="2"/>
  <c r="N653" i="2"/>
  <c r="K653" i="2"/>
  <c r="K657" i="2"/>
  <c r="K658" i="2"/>
  <c r="K659" i="2"/>
  <c r="K660" i="2"/>
  <c r="N657" i="2"/>
  <c r="N658" i="2"/>
  <c r="N659" i="2"/>
  <c r="Q657" i="2"/>
  <c r="Q658" i="2"/>
  <c r="Q659" i="2"/>
  <c r="T657" i="2"/>
  <c r="T658" i="2"/>
  <c r="T659" i="2"/>
  <c r="W657" i="2"/>
  <c r="W658" i="2"/>
  <c r="W659" i="2"/>
  <c r="Z657" i="2"/>
  <c r="Z658" i="2"/>
  <c r="Z659" i="2"/>
  <c r="AC657" i="2"/>
  <c r="AC658" i="2"/>
  <c r="AC659" i="2"/>
  <c r="AF657" i="2"/>
  <c r="AF658" i="2"/>
  <c r="AF659" i="2"/>
  <c r="AM657" i="2"/>
  <c r="AM658" i="2"/>
  <c r="AM659" i="2"/>
  <c r="AP657" i="2"/>
  <c r="AP658" i="2"/>
  <c r="AP659" i="2"/>
  <c r="AP660" i="2"/>
  <c r="AI657" i="2"/>
  <c r="AI658" i="2"/>
  <c r="AI659" i="2"/>
  <c r="AI660" i="2"/>
  <c r="Y655" i="2"/>
  <c r="X655" i="2"/>
  <c r="V655" i="2"/>
  <c r="U655" i="2"/>
  <c r="Y650" i="2"/>
  <c r="X650" i="2"/>
  <c r="V650" i="2"/>
  <c r="U650" i="2"/>
  <c r="AR709" i="2"/>
  <c r="AP708" i="2"/>
  <c r="AM708" i="2"/>
  <c r="AI708" i="2"/>
  <c r="AF708" i="2"/>
  <c r="AC708" i="2"/>
  <c r="Z708" i="2"/>
  <c r="W708" i="2"/>
  <c r="T708" i="2"/>
  <c r="Q708" i="2"/>
  <c r="N708" i="2"/>
  <c r="K708" i="2"/>
  <c r="AP707" i="2"/>
  <c r="AM707" i="2"/>
  <c r="AI707" i="2"/>
  <c r="AF707" i="2"/>
  <c r="AC707" i="2"/>
  <c r="Z707" i="2"/>
  <c r="W707" i="2"/>
  <c r="T707" i="2"/>
  <c r="Q707" i="2"/>
  <c r="N707" i="2"/>
  <c r="K707" i="2"/>
  <c r="AP706" i="2"/>
  <c r="AM706" i="2"/>
  <c r="AI706" i="2"/>
  <c r="AE706" i="2"/>
  <c r="AD706" i="2"/>
  <c r="AC706" i="2"/>
  <c r="Z706" i="2"/>
  <c r="W706" i="2"/>
  <c r="T706" i="2"/>
  <c r="Q706" i="2"/>
  <c r="N706" i="2"/>
  <c r="K706" i="2"/>
  <c r="AO705" i="2"/>
  <c r="AN705" i="2"/>
  <c r="AK705" i="2"/>
  <c r="AJ705" i="2"/>
  <c r="AH705" i="2"/>
  <c r="AG705" i="2"/>
  <c r="Y705" i="2"/>
  <c r="X705" i="2"/>
  <c r="V705" i="2"/>
  <c r="U705" i="2"/>
  <c r="S705" i="2"/>
  <c r="R705" i="2"/>
  <c r="P705" i="2"/>
  <c r="O705" i="2"/>
  <c r="M705" i="2"/>
  <c r="L705" i="2"/>
  <c r="J705" i="2"/>
  <c r="I705" i="2"/>
  <c r="AP702" i="2"/>
  <c r="AM702" i="2"/>
  <c r="AI702" i="2"/>
  <c r="AE702" i="2"/>
  <c r="AD702" i="2"/>
  <c r="AC702" i="2"/>
  <c r="Z702" i="2"/>
  <c r="W702" i="2"/>
  <c r="T702" i="2"/>
  <c r="Q702" i="2"/>
  <c r="N702" i="2"/>
  <c r="K702" i="2"/>
  <c r="AO701" i="2"/>
  <c r="AN701" i="2"/>
  <c r="AK701" i="2"/>
  <c r="AJ701" i="2"/>
  <c r="AH701" i="2"/>
  <c r="AG701" i="2"/>
  <c r="AB701" i="2"/>
  <c r="AA701" i="2"/>
  <c r="Y701" i="2"/>
  <c r="X701" i="2"/>
  <c r="V701" i="2"/>
  <c r="U701" i="2"/>
  <c r="S701" i="2"/>
  <c r="R701" i="2"/>
  <c r="P701" i="2"/>
  <c r="O701" i="2"/>
  <c r="M701" i="2"/>
  <c r="L701" i="2"/>
  <c r="J701" i="2"/>
  <c r="I701" i="2"/>
  <c r="AI700" i="2"/>
  <c r="AF700" i="2"/>
  <c r="AC700" i="2"/>
  <c r="Z700" i="2"/>
  <c r="W700" i="2"/>
  <c r="T700" i="2"/>
  <c r="Q700" i="2"/>
  <c r="N700" i="2"/>
  <c r="K700" i="2"/>
  <c r="AP695" i="2"/>
  <c r="AM695" i="2"/>
  <c r="AI695" i="2"/>
  <c r="AE695" i="2"/>
  <c r="AD695" i="2"/>
  <c r="AC695" i="2"/>
  <c r="Z695" i="2"/>
  <c r="W695" i="2"/>
  <c r="T695" i="2"/>
  <c r="Q695" i="2"/>
  <c r="N695" i="2"/>
  <c r="K695" i="2"/>
  <c r="AO694" i="2"/>
  <c r="AN694" i="2"/>
  <c r="AK694" i="2"/>
  <c r="AJ694" i="2"/>
  <c r="AH694" i="2"/>
  <c r="AG694" i="2"/>
  <c r="AB694" i="2"/>
  <c r="AA694" i="2"/>
  <c r="Y694" i="2"/>
  <c r="X694" i="2"/>
  <c r="V694" i="2"/>
  <c r="U694" i="2"/>
  <c r="S694" i="2"/>
  <c r="R694" i="2"/>
  <c r="P694" i="2"/>
  <c r="M694" i="2"/>
  <c r="L694" i="2"/>
  <c r="J694" i="2"/>
  <c r="I694" i="2"/>
  <c r="AP693" i="2"/>
  <c r="AM693" i="2"/>
  <c r="AI693" i="2"/>
  <c r="AF693" i="2"/>
  <c r="AC693" i="2"/>
  <c r="Z693" i="2"/>
  <c r="W693" i="2"/>
  <c r="T693" i="2"/>
  <c r="Q693" i="2"/>
  <c r="N693" i="2"/>
  <c r="K693" i="2"/>
  <c r="AP692" i="2"/>
  <c r="AM692" i="2"/>
  <c r="AI692" i="2"/>
  <c r="AF692" i="2"/>
  <c r="AC692" i="2"/>
  <c r="Z692" i="2"/>
  <c r="W692" i="2"/>
  <c r="T692" i="2"/>
  <c r="Q692" i="2"/>
  <c r="N692" i="2"/>
  <c r="K692" i="2"/>
  <c r="AP691" i="2"/>
  <c r="AM691" i="2"/>
  <c r="AI691" i="2"/>
  <c r="AF691" i="2"/>
  <c r="AC691" i="2"/>
  <c r="Z691" i="2"/>
  <c r="W691" i="2"/>
  <c r="T691" i="2"/>
  <c r="Q691" i="2"/>
  <c r="N691" i="2"/>
  <c r="K691" i="2"/>
  <c r="AP690" i="2"/>
  <c r="AM690" i="2"/>
  <c r="AI690" i="2"/>
  <c r="AE690" i="2"/>
  <c r="AD690" i="2"/>
  <c r="AC690" i="2"/>
  <c r="Z690" i="2"/>
  <c r="W690" i="2"/>
  <c r="T690" i="2"/>
  <c r="Q690" i="2"/>
  <c r="N690" i="2"/>
  <c r="K690" i="2"/>
  <c r="AO689" i="2"/>
  <c r="AN689" i="2"/>
  <c r="AK689" i="2"/>
  <c r="AJ689" i="2"/>
  <c r="AH689" i="2"/>
  <c r="AG689" i="2"/>
  <c r="AB689" i="2"/>
  <c r="AA689" i="2"/>
  <c r="Y689" i="2"/>
  <c r="X689" i="2"/>
  <c r="V689" i="2"/>
  <c r="U689" i="2"/>
  <c r="S689" i="2"/>
  <c r="R689" i="2"/>
  <c r="P689" i="2"/>
  <c r="O689" i="2"/>
  <c r="M689" i="2"/>
  <c r="L689" i="2"/>
  <c r="J689" i="2"/>
  <c r="I689" i="2"/>
  <c r="AP688" i="2"/>
  <c r="AM688" i="2"/>
  <c r="AI688" i="2"/>
  <c r="AF688" i="2"/>
  <c r="AC688" i="2"/>
  <c r="Z688" i="2"/>
  <c r="W688" i="2"/>
  <c r="T688" i="2"/>
  <c r="Q688" i="2"/>
  <c r="N688" i="2"/>
  <c r="K688" i="2"/>
  <c r="AP687" i="2"/>
  <c r="AM687" i="2"/>
  <c r="AI687" i="2"/>
  <c r="AE687" i="2"/>
  <c r="AD687" i="2"/>
  <c r="AC687" i="2"/>
  <c r="Z687" i="2"/>
  <c r="W687" i="2"/>
  <c r="T687" i="2"/>
  <c r="Q687" i="2"/>
  <c r="N687" i="2"/>
  <c r="K687" i="2"/>
  <c r="AO686" i="2"/>
  <c r="AN686" i="2"/>
  <c r="AK686" i="2"/>
  <c r="AJ686" i="2"/>
  <c r="AH686" i="2"/>
  <c r="AG686" i="2"/>
  <c r="AB686" i="2"/>
  <c r="Y686" i="2"/>
  <c r="X686" i="2"/>
  <c r="S686" i="2"/>
  <c r="R686" i="2"/>
  <c r="P686" i="2"/>
  <c r="O686" i="2"/>
  <c r="M686" i="2"/>
  <c r="L686" i="2"/>
  <c r="J686" i="2"/>
  <c r="I686" i="2"/>
  <c r="AP685" i="2"/>
  <c r="AM685" i="2"/>
  <c r="AI685" i="2"/>
  <c r="AF685" i="2"/>
  <c r="AC685" i="2"/>
  <c r="Z685" i="2"/>
  <c r="W685" i="2"/>
  <c r="T685" i="2"/>
  <c r="Q685" i="2"/>
  <c r="N685" i="2"/>
  <c r="K685" i="2"/>
  <c r="AP684" i="2"/>
  <c r="AM684" i="2"/>
  <c r="AI684" i="2"/>
  <c r="AE684" i="2"/>
  <c r="AD684" i="2"/>
  <c r="AC684" i="2"/>
  <c r="Z684" i="2"/>
  <c r="W684" i="2"/>
  <c r="T684" i="2"/>
  <c r="Q684" i="2"/>
  <c r="N684" i="2"/>
  <c r="K684" i="2"/>
  <c r="AO683" i="2"/>
  <c r="AN683" i="2"/>
  <c r="AK683" i="2"/>
  <c r="AJ683" i="2"/>
  <c r="AH683" i="2"/>
  <c r="AG683" i="2"/>
  <c r="AB683" i="2"/>
  <c r="Y683" i="2"/>
  <c r="X683" i="2"/>
  <c r="S683" i="2"/>
  <c r="R683" i="2"/>
  <c r="P683" i="2"/>
  <c r="O683" i="2"/>
  <c r="M683" i="2"/>
  <c r="L683" i="2"/>
  <c r="J683" i="2"/>
  <c r="I683" i="2"/>
  <c r="AP682" i="2"/>
  <c r="AM682" i="2"/>
  <c r="AI682" i="2"/>
  <c r="AF682" i="2"/>
  <c r="AC682" i="2"/>
  <c r="Z682" i="2"/>
  <c r="W682" i="2"/>
  <c r="T682" i="2"/>
  <c r="Q682" i="2"/>
  <c r="N682" i="2"/>
  <c r="K682" i="2"/>
  <c r="AP679" i="2"/>
  <c r="AM679" i="2"/>
  <c r="AI679" i="2"/>
  <c r="AE679" i="2"/>
  <c r="AD679" i="2"/>
  <c r="AC679" i="2"/>
  <c r="Z679" i="2"/>
  <c r="W679" i="2"/>
  <c r="T679" i="2"/>
  <c r="Q679" i="2"/>
  <c r="N679" i="2"/>
  <c r="K679" i="2"/>
  <c r="AO678" i="2"/>
  <c r="AN678" i="2"/>
  <c r="AK678" i="2"/>
  <c r="AJ678" i="2"/>
  <c r="AH678" i="2"/>
  <c r="AG678" i="2"/>
  <c r="AB678" i="2"/>
  <c r="AA678" i="2"/>
  <c r="Y678" i="2"/>
  <c r="X678" i="2"/>
  <c r="V678" i="2"/>
  <c r="U678" i="2"/>
  <c r="S678" i="2"/>
  <c r="R678" i="2"/>
  <c r="P678" i="2"/>
  <c r="O678" i="2"/>
  <c r="M678" i="2"/>
  <c r="L678" i="2"/>
  <c r="J678" i="2"/>
  <c r="I678" i="2"/>
  <c r="AP677" i="2"/>
  <c r="AM677" i="2"/>
  <c r="AI677" i="2"/>
  <c r="AF677" i="2"/>
  <c r="AC677" i="2"/>
  <c r="Z677" i="2"/>
  <c r="W677" i="2"/>
  <c r="T677" i="2"/>
  <c r="Q677" i="2"/>
  <c r="N677" i="2"/>
  <c r="AP673" i="2"/>
  <c r="AM673" i="2"/>
  <c r="AI673" i="2"/>
  <c r="AE673" i="2"/>
  <c r="AD673" i="2"/>
  <c r="AC673" i="2"/>
  <c r="Z673" i="2"/>
  <c r="W673" i="2"/>
  <c r="T673" i="2"/>
  <c r="Q673" i="2"/>
  <c r="N673" i="2"/>
  <c r="K673" i="2"/>
  <c r="AO672" i="2"/>
  <c r="AN672" i="2"/>
  <c r="AK672" i="2"/>
  <c r="AJ672" i="2"/>
  <c r="AH672" i="2"/>
  <c r="AG672" i="2"/>
  <c r="AB672" i="2"/>
  <c r="AA672" i="2"/>
  <c r="Y672" i="2"/>
  <c r="X672" i="2"/>
  <c r="V672" i="2"/>
  <c r="U672" i="2"/>
  <c r="S672" i="2"/>
  <c r="R672" i="2"/>
  <c r="P672" i="2"/>
  <c r="O672" i="2"/>
  <c r="M672" i="2"/>
  <c r="L672" i="2"/>
  <c r="J672" i="2"/>
  <c r="I672" i="2"/>
  <c r="AP671" i="2"/>
  <c r="AM671" i="2"/>
  <c r="AI671" i="2"/>
  <c r="AE671" i="2"/>
  <c r="AD671" i="2"/>
  <c r="AC671" i="2"/>
  <c r="Z671" i="2"/>
  <c r="W671" i="2"/>
  <c r="T671" i="2"/>
  <c r="Q671" i="2"/>
  <c r="N671" i="2"/>
  <c r="K671" i="2"/>
  <c r="AO670" i="2"/>
  <c r="AN670" i="2"/>
  <c r="AK670" i="2"/>
  <c r="AJ670" i="2"/>
  <c r="AH670" i="2"/>
  <c r="AG670" i="2"/>
  <c r="S670" i="2"/>
  <c r="R670" i="2"/>
  <c r="P670" i="2"/>
  <c r="O670" i="2"/>
  <c r="M670" i="2"/>
  <c r="L670" i="2"/>
  <c r="J670" i="2"/>
  <c r="I670" i="2"/>
  <c r="AP669" i="2"/>
  <c r="AM669" i="2"/>
  <c r="AI669" i="2"/>
  <c r="AF669" i="2"/>
  <c r="AC669" i="2"/>
  <c r="Z669" i="2"/>
  <c r="W669" i="2"/>
  <c r="T669" i="2"/>
  <c r="Q669" i="2"/>
  <c r="N669" i="2"/>
  <c r="K669" i="2"/>
  <c r="AP665" i="2"/>
  <c r="AM665" i="2"/>
  <c r="AI665" i="2"/>
  <c r="AE665" i="2"/>
  <c r="AD665" i="2"/>
  <c r="AC665" i="2"/>
  <c r="Z665" i="2"/>
  <c r="W665" i="2"/>
  <c r="T665" i="2"/>
  <c r="Q665" i="2"/>
  <c r="N665" i="2"/>
  <c r="K665" i="2"/>
  <c r="AO664" i="2"/>
  <c r="AN664" i="2"/>
  <c r="AK664" i="2"/>
  <c r="AJ664" i="2"/>
  <c r="AH664" i="2"/>
  <c r="AG664" i="2"/>
  <c r="AB664" i="2"/>
  <c r="AA664" i="2"/>
  <c r="Y664" i="2"/>
  <c r="X664" i="2"/>
  <c r="V664" i="2"/>
  <c r="U664" i="2"/>
  <c r="S664" i="2"/>
  <c r="R664" i="2"/>
  <c r="P664" i="2"/>
  <c r="O664" i="2"/>
  <c r="M664" i="2"/>
  <c r="L664" i="2"/>
  <c r="J664" i="2"/>
  <c r="I664" i="2"/>
  <c r="AP663" i="2"/>
  <c r="AM663" i="2"/>
  <c r="AI663" i="2"/>
  <c r="AF663" i="2"/>
  <c r="AC663" i="2"/>
  <c r="Z663" i="2"/>
  <c r="W663" i="2"/>
  <c r="T663" i="2"/>
  <c r="Q663" i="2"/>
  <c r="N663" i="2"/>
  <c r="K663" i="2"/>
  <c r="AP662" i="2"/>
  <c r="AM662" i="2"/>
  <c r="AI662" i="2"/>
  <c r="AE662" i="2"/>
  <c r="AC662" i="2"/>
  <c r="Z662" i="2"/>
  <c r="W662" i="2"/>
  <c r="T662" i="2"/>
  <c r="Q662" i="2"/>
  <c r="N662" i="2"/>
  <c r="K662" i="2"/>
  <c r="AO661" i="2"/>
  <c r="AN661" i="2"/>
  <c r="AK661" i="2"/>
  <c r="AJ661" i="2"/>
  <c r="AH661" i="2"/>
  <c r="AG661" i="2"/>
  <c r="AA661" i="2"/>
  <c r="S661" i="2"/>
  <c r="R661" i="2"/>
  <c r="P661" i="2"/>
  <c r="O661" i="2"/>
  <c r="M661" i="2"/>
  <c r="L661" i="2"/>
  <c r="J661" i="2"/>
  <c r="I661" i="2"/>
  <c r="AM660" i="2"/>
  <c r="AF660" i="2"/>
  <c r="AC660" i="2"/>
  <c r="Z660" i="2"/>
  <c r="W660" i="2"/>
  <c r="T660" i="2"/>
  <c r="Q660" i="2"/>
  <c r="N660" i="2"/>
  <c r="AP656" i="2"/>
  <c r="AM656" i="2"/>
  <c r="AI656" i="2"/>
  <c r="AE656" i="2"/>
  <c r="AD656" i="2"/>
  <c r="AC656" i="2"/>
  <c r="Z656" i="2"/>
  <c r="W656" i="2"/>
  <c r="T656" i="2"/>
  <c r="Q656" i="2"/>
  <c r="N656" i="2"/>
  <c r="K656" i="2"/>
  <c r="AO655" i="2"/>
  <c r="AN655" i="2"/>
  <c r="AK655" i="2"/>
  <c r="AJ655" i="2"/>
  <c r="AH655" i="2"/>
  <c r="AG655" i="2"/>
  <c r="AA655" i="2"/>
  <c r="S655" i="2"/>
  <c r="R655" i="2"/>
  <c r="P655" i="2"/>
  <c r="O655" i="2"/>
  <c r="M655" i="2"/>
  <c r="L655" i="2"/>
  <c r="J655" i="2"/>
  <c r="I655" i="2"/>
  <c r="AP654" i="2"/>
  <c r="AM654" i="2"/>
  <c r="AI654" i="2"/>
  <c r="AF654" i="2"/>
  <c r="AC654" i="2"/>
  <c r="Z654" i="2"/>
  <c r="W654" i="2"/>
  <c r="T654" i="2"/>
  <c r="Q654" i="2"/>
  <c r="N654" i="2"/>
  <c r="K654" i="2"/>
  <c r="AP652" i="2"/>
  <c r="AM652" i="2"/>
  <c r="AI652" i="2"/>
  <c r="AF652" i="2"/>
  <c r="AC652" i="2"/>
  <c r="Z652" i="2"/>
  <c r="W652" i="2"/>
  <c r="T652" i="2"/>
  <c r="Q652" i="2"/>
  <c r="N652" i="2"/>
  <c r="K652" i="2"/>
  <c r="AP651" i="2"/>
  <c r="AM651" i="2"/>
  <c r="AI651" i="2"/>
  <c r="AE651" i="2"/>
  <c r="AD651" i="2"/>
  <c r="AC651" i="2"/>
  <c r="Z651" i="2"/>
  <c r="W651" i="2"/>
  <c r="T651" i="2"/>
  <c r="Q651" i="2"/>
  <c r="N651" i="2"/>
  <c r="K651" i="2"/>
  <c r="AO650" i="2"/>
  <c r="AN650" i="2"/>
  <c r="AK650" i="2"/>
  <c r="AJ650" i="2"/>
  <c r="AH650" i="2"/>
  <c r="AA650" i="2"/>
  <c r="S650" i="2"/>
  <c r="R650" i="2"/>
  <c r="P650" i="2"/>
  <c r="O650" i="2"/>
  <c r="M650" i="2"/>
  <c r="L650" i="2"/>
  <c r="J650" i="2"/>
  <c r="I650" i="2"/>
  <c r="AP560" i="2"/>
  <c r="AM560" i="2"/>
  <c r="AI560" i="2"/>
  <c r="AF560" i="2"/>
  <c r="AC560" i="2"/>
  <c r="Z560" i="2"/>
  <c r="W560" i="2"/>
  <c r="T560" i="2"/>
  <c r="Q560" i="2"/>
  <c r="N560" i="2"/>
  <c r="K560" i="2"/>
  <c r="V535" i="2"/>
  <c r="V530" i="2"/>
  <c r="U530" i="2"/>
  <c r="AR539" i="2"/>
  <c r="AJ535" i="2"/>
  <c r="AK535" i="2"/>
  <c r="AH535" i="2"/>
  <c r="AG535" i="2"/>
  <c r="AB535" i="2"/>
  <c r="Y535" i="2"/>
  <c r="X535" i="2"/>
  <c r="U535" i="2"/>
  <c r="AP538" i="2"/>
  <c r="AM538" i="2"/>
  <c r="AI538" i="2"/>
  <c r="AF538" i="2"/>
  <c r="AC538" i="2"/>
  <c r="Z538" i="2"/>
  <c r="W538" i="2"/>
  <c r="T538" i="2"/>
  <c r="Q538" i="2"/>
  <c r="N538" i="2"/>
  <c r="K538" i="2"/>
  <c r="AP537" i="2"/>
  <c r="AM537" i="2"/>
  <c r="AI537" i="2"/>
  <c r="AF537" i="2"/>
  <c r="AC537" i="2"/>
  <c r="Z537" i="2"/>
  <c r="W537" i="2"/>
  <c r="T537" i="2"/>
  <c r="Q537" i="2"/>
  <c r="N537" i="2"/>
  <c r="K537" i="2"/>
  <c r="AP536" i="2"/>
  <c r="AM536" i="2"/>
  <c r="AI536" i="2"/>
  <c r="AE536" i="2"/>
  <c r="AD536" i="2"/>
  <c r="AC536" i="2"/>
  <c r="Z536" i="2"/>
  <c r="W536" i="2"/>
  <c r="T536" i="2"/>
  <c r="Q536" i="2"/>
  <c r="N536" i="2"/>
  <c r="K536" i="2"/>
  <c r="AO535" i="2"/>
  <c r="AN535" i="2"/>
  <c r="AA535" i="2"/>
  <c r="S535" i="2"/>
  <c r="R535" i="2"/>
  <c r="P535" i="2"/>
  <c r="O535" i="2"/>
  <c r="M535" i="2"/>
  <c r="L535" i="2"/>
  <c r="J535" i="2"/>
  <c r="I535" i="2"/>
  <c r="AP534" i="2"/>
  <c r="AM534" i="2"/>
  <c r="AI534" i="2"/>
  <c r="AF534" i="2"/>
  <c r="AC534" i="2"/>
  <c r="Z534" i="2"/>
  <c r="W534" i="2"/>
  <c r="T534" i="2"/>
  <c r="Q534" i="2"/>
  <c r="N534" i="2"/>
  <c r="K534" i="2"/>
  <c r="AP533" i="2"/>
  <c r="AM533" i="2"/>
  <c r="AI533" i="2"/>
  <c r="AF533" i="2"/>
  <c r="AC533" i="2"/>
  <c r="Z533" i="2"/>
  <c r="W533" i="2"/>
  <c r="T533" i="2"/>
  <c r="Q533" i="2"/>
  <c r="N533" i="2"/>
  <c r="K533" i="2"/>
  <c r="AP532" i="2"/>
  <c r="AM532" i="2"/>
  <c r="AI532" i="2"/>
  <c r="AF532" i="2"/>
  <c r="AC532" i="2"/>
  <c r="Z532" i="2"/>
  <c r="W532" i="2"/>
  <c r="T532" i="2"/>
  <c r="Q532" i="2"/>
  <c r="N532" i="2"/>
  <c r="K532" i="2"/>
  <c r="AP531" i="2"/>
  <c r="AM531" i="2"/>
  <c r="AI531" i="2"/>
  <c r="AE531" i="2"/>
  <c r="AD531" i="2"/>
  <c r="AC531" i="2"/>
  <c r="Z531" i="2"/>
  <c r="W531" i="2"/>
  <c r="T531" i="2"/>
  <c r="Q531" i="2"/>
  <c r="N531" i="2"/>
  <c r="K531" i="2"/>
  <c r="AO530" i="2"/>
  <c r="AN530" i="2"/>
  <c r="AK530" i="2"/>
  <c r="AJ530" i="2"/>
  <c r="AH530" i="2"/>
  <c r="AG530" i="2"/>
  <c r="Y530" i="2"/>
  <c r="X530" i="2"/>
  <c r="S530" i="2"/>
  <c r="R530" i="2"/>
  <c r="P530" i="2"/>
  <c r="O530" i="2"/>
  <c r="M530" i="2"/>
  <c r="L530" i="2"/>
  <c r="J530" i="2"/>
  <c r="I530" i="2"/>
  <c r="AP529" i="2"/>
  <c r="AM529" i="2"/>
  <c r="AI529" i="2"/>
  <c r="AF529" i="2"/>
  <c r="AC529" i="2"/>
  <c r="Z529" i="2"/>
  <c r="W529" i="2"/>
  <c r="T529" i="2"/>
  <c r="Q529" i="2"/>
  <c r="N529" i="2"/>
  <c r="K529" i="2"/>
  <c r="AP528" i="2"/>
  <c r="AM528" i="2"/>
  <c r="AI528" i="2"/>
  <c r="AE528" i="2"/>
  <c r="AD528" i="2"/>
  <c r="AC528" i="2"/>
  <c r="Z528" i="2"/>
  <c r="W528" i="2"/>
  <c r="T528" i="2"/>
  <c r="Q528" i="2"/>
  <c r="N528" i="2"/>
  <c r="K528" i="2"/>
  <c r="AO527" i="2"/>
  <c r="AN527" i="2"/>
  <c r="AK527" i="2"/>
  <c r="AJ527" i="2"/>
  <c r="AH527" i="2"/>
  <c r="AG527" i="2"/>
  <c r="AB527" i="2"/>
  <c r="AA527" i="2"/>
  <c r="Y527" i="2"/>
  <c r="X527" i="2"/>
  <c r="V527" i="2"/>
  <c r="U527" i="2"/>
  <c r="S527" i="2"/>
  <c r="R527" i="2"/>
  <c r="P527" i="2"/>
  <c r="O527" i="2"/>
  <c r="M527" i="2"/>
  <c r="L527" i="2"/>
  <c r="J527" i="2"/>
  <c r="I527" i="2"/>
  <c r="AP526" i="2"/>
  <c r="AM526" i="2"/>
  <c r="AI526" i="2"/>
  <c r="AF526" i="2"/>
  <c r="AC526" i="2"/>
  <c r="Z526" i="2"/>
  <c r="W526" i="2"/>
  <c r="T526" i="2"/>
  <c r="Q526" i="2"/>
  <c r="N526" i="2"/>
  <c r="K526" i="2"/>
  <c r="AP525" i="2"/>
  <c r="AM525" i="2"/>
  <c r="AI525" i="2"/>
  <c r="AE525" i="2"/>
  <c r="AD525" i="2"/>
  <c r="AC525" i="2"/>
  <c r="Z525" i="2"/>
  <c r="W525" i="2"/>
  <c r="T525" i="2"/>
  <c r="Q525" i="2"/>
  <c r="N525" i="2"/>
  <c r="K525" i="2"/>
  <c r="AO524" i="2"/>
  <c r="AN524" i="2"/>
  <c r="AK524" i="2"/>
  <c r="AJ524" i="2"/>
  <c r="AH524" i="2"/>
  <c r="AG524" i="2"/>
  <c r="AB524" i="2"/>
  <c r="AA524" i="2"/>
  <c r="Y524" i="2"/>
  <c r="X524" i="2"/>
  <c r="V524" i="2"/>
  <c r="U524" i="2"/>
  <c r="S524" i="2"/>
  <c r="R524" i="2"/>
  <c r="P524" i="2"/>
  <c r="O524" i="2"/>
  <c r="M524" i="2"/>
  <c r="L524" i="2"/>
  <c r="J524" i="2"/>
  <c r="I524" i="2"/>
  <c r="AP520" i="2"/>
  <c r="AM520" i="2"/>
  <c r="AI520" i="2"/>
  <c r="AF520" i="2"/>
  <c r="AC520" i="2"/>
  <c r="Z520" i="2"/>
  <c r="W520" i="2"/>
  <c r="T520" i="2"/>
  <c r="Q520" i="2"/>
  <c r="N520" i="2"/>
  <c r="K520" i="2"/>
  <c r="AP523" i="2"/>
  <c r="AM523" i="2"/>
  <c r="AI523" i="2"/>
  <c r="AF523" i="2"/>
  <c r="AC523" i="2"/>
  <c r="Z523" i="2"/>
  <c r="W523" i="2"/>
  <c r="T523" i="2"/>
  <c r="Q523" i="2"/>
  <c r="N523" i="2"/>
  <c r="K523" i="2"/>
  <c r="AP522" i="2"/>
  <c r="AM522" i="2"/>
  <c r="AI522" i="2"/>
  <c r="AF522" i="2"/>
  <c r="AC522" i="2"/>
  <c r="Z522" i="2"/>
  <c r="W522" i="2"/>
  <c r="T522" i="2"/>
  <c r="Q522" i="2"/>
  <c r="N522" i="2"/>
  <c r="K522" i="2"/>
  <c r="AP521" i="2"/>
  <c r="AM521" i="2"/>
  <c r="AI521" i="2"/>
  <c r="AF521" i="2"/>
  <c r="AC521" i="2"/>
  <c r="Z521" i="2"/>
  <c r="W521" i="2"/>
  <c r="T521" i="2"/>
  <c r="Q521" i="2"/>
  <c r="N521" i="2"/>
  <c r="K521" i="2"/>
  <c r="AP519" i="2"/>
  <c r="AM519" i="2"/>
  <c r="AI519" i="2"/>
  <c r="AF519" i="2"/>
  <c r="AC519" i="2"/>
  <c r="Z519" i="2"/>
  <c r="W519" i="2"/>
  <c r="T519" i="2"/>
  <c r="Q519" i="2"/>
  <c r="N519" i="2"/>
  <c r="K519" i="2"/>
  <c r="AP518" i="2"/>
  <c r="AM518" i="2"/>
  <c r="AI518" i="2"/>
  <c r="AE518" i="2"/>
  <c r="AD518" i="2"/>
  <c r="AC518" i="2"/>
  <c r="Z518" i="2"/>
  <c r="W518" i="2"/>
  <c r="T518" i="2"/>
  <c r="Q518" i="2"/>
  <c r="N518" i="2"/>
  <c r="K518" i="2"/>
  <c r="AO517" i="2"/>
  <c r="AN517" i="2"/>
  <c r="AK517" i="2"/>
  <c r="AJ517" i="2"/>
  <c r="AH517" i="2"/>
  <c r="AG517" i="2"/>
  <c r="AB517" i="2"/>
  <c r="AA517" i="2"/>
  <c r="Y517" i="2"/>
  <c r="X517" i="2"/>
  <c r="V517" i="2"/>
  <c r="U517" i="2"/>
  <c r="S517" i="2"/>
  <c r="R517" i="2"/>
  <c r="P517" i="2"/>
  <c r="O517" i="2"/>
  <c r="M517" i="2"/>
  <c r="L517" i="2"/>
  <c r="J517" i="2"/>
  <c r="I517" i="2"/>
  <c r="I548" i="2"/>
  <c r="J548" i="2"/>
  <c r="L548" i="2"/>
  <c r="M548" i="2"/>
  <c r="O548" i="2"/>
  <c r="P548" i="2"/>
  <c r="R548" i="2"/>
  <c r="S548" i="2"/>
  <c r="U548" i="2"/>
  <c r="V548" i="2"/>
  <c r="X548" i="2"/>
  <c r="Y548" i="2"/>
  <c r="AA548" i="2"/>
  <c r="AB548" i="2"/>
  <c r="AG548" i="2"/>
  <c r="AH548" i="2"/>
  <c r="AJ548" i="2"/>
  <c r="AK548" i="2"/>
  <c r="AN548" i="2"/>
  <c r="AO548" i="2"/>
  <c r="K549" i="2"/>
  <c r="N549" i="2"/>
  <c r="Q549" i="2"/>
  <c r="T549" i="2"/>
  <c r="W549" i="2"/>
  <c r="Z549" i="2"/>
  <c r="AC549" i="2"/>
  <c r="AD549" i="2"/>
  <c r="AE549" i="2"/>
  <c r="AI549" i="2"/>
  <c r="AM549" i="2"/>
  <c r="AP549" i="2"/>
  <c r="K550" i="2"/>
  <c r="N550" i="2"/>
  <c r="Q550" i="2"/>
  <c r="T550" i="2"/>
  <c r="W550" i="2"/>
  <c r="Z550" i="2"/>
  <c r="AC550" i="2"/>
  <c r="AD550" i="2"/>
  <c r="AE550" i="2"/>
  <c r="AI550" i="2"/>
  <c r="AM550" i="2"/>
  <c r="AP550" i="2"/>
  <c r="K551" i="2"/>
  <c r="N551" i="2"/>
  <c r="Q551" i="2"/>
  <c r="T551" i="2"/>
  <c r="W551" i="2"/>
  <c r="Z551" i="2"/>
  <c r="AC551" i="2"/>
  <c r="AD551" i="2"/>
  <c r="AE551" i="2"/>
  <c r="AI551" i="2"/>
  <c r="AM551" i="2"/>
  <c r="AP551" i="2"/>
  <c r="I552" i="2"/>
  <c r="J552" i="2"/>
  <c r="L552" i="2"/>
  <c r="M552" i="2"/>
  <c r="O552" i="2"/>
  <c r="P552" i="2"/>
  <c r="R552" i="2"/>
  <c r="S552" i="2"/>
  <c r="U552" i="2"/>
  <c r="V552" i="2"/>
  <c r="X552" i="2"/>
  <c r="Y552" i="2"/>
  <c r="AA552" i="2"/>
  <c r="AB552" i="2"/>
  <c r="AG552" i="2"/>
  <c r="AH552" i="2"/>
  <c r="AJ552" i="2"/>
  <c r="AK552" i="2"/>
  <c r="AN552" i="2"/>
  <c r="AO552" i="2"/>
  <c r="K553" i="2"/>
  <c r="N553" i="2"/>
  <c r="Q553" i="2"/>
  <c r="T553" i="2"/>
  <c r="W553" i="2"/>
  <c r="Z553" i="2"/>
  <c r="AC553" i="2"/>
  <c r="AD553" i="2"/>
  <c r="AE553" i="2"/>
  <c r="AI553" i="2"/>
  <c r="AM553" i="2"/>
  <c r="AP553" i="2"/>
  <c r="K554" i="2"/>
  <c r="N554" i="2"/>
  <c r="Q554" i="2"/>
  <c r="T554" i="2"/>
  <c r="W554" i="2"/>
  <c r="Z554" i="2"/>
  <c r="AC554" i="2"/>
  <c r="AD554" i="2"/>
  <c r="AE554" i="2"/>
  <c r="AI554" i="2"/>
  <c r="AM554" i="2"/>
  <c r="AP554" i="2"/>
  <c r="K555" i="2"/>
  <c r="N555" i="2"/>
  <c r="Q555" i="2"/>
  <c r="T555" i="2"/>
  <c r="W555" i="2"/>
  <c r="Z555" i="2"/>
  <c r="AC555" i="2"/>
  <c r="AD555" i="2"/>
  <c r="AE555" i="2"/>
  <c r="AI555" i="2"/>
  <c r="AM555" i="2"/>
  <c r="AP555" i="2"/>
  <c r="K556" i="2"/>
  <c r="N556" i="2"/>
  <c r="Q556" i="2"/>
  <c r="T556" i="2"/>
  <c r="W556" i="2"/>
  <c r="Z556" i="2"/>
  <c r="AC556" i="2"/>
  <c r="AD556" i="2"/>
  <c r="AE556" i="2"/>
  <c r="AI556" i="2"/>
  <c r="AM556" i="2"/>
  <c r="AP556" i="2"/>
  <c r="K557" i="2"/>
  <c r="N557" i="2"/>
  <c r="Q557" i="2"/>
  <c r="T557" i="2"/>
  <c r="W557" i="2"/>
  <c r="Z557" i="2"/>
  <c r="AC557" i="2"/>
  <c r="AD557" i="2"/>
  <c r="AE557" i="2"/>
  <c r="AI557" i="2"/>
  <c r="AM557" i="2"/>
  <c r="AP557" i="2"/>
  <c r="I558" i="2"/>
  <c r="J558" i="2"/>
  <c r="L558" i="2"/>
  <c r="M558" i="2"/>
  <c r="O558" i="2"/>
  <c r="P558" i="2"/>
  <c r="R558" i="2"/>
  <c r="S558" i="2"/>
  <c r="U558" i="2"/>
  <c r="V558" i="2"/>
  <c r="X558" i="2"/>
  <c r="Y558" i="2"/>
  <c r="AA558" i="2"/>
  <c r="AB558" i="2"/>
  <c r="AG558" i="2"/>
  <c r="AH558" i="2"/>
  <c r="AJ558" i="2"/>
  <c r="AK558" i="2"/>
  <c r="AN558" i="2"/>
  <c r="AO558" i="2"/>
  <c r="K559" i="2"/>
  <c r="N559" i="2"/>
  <c r="Q559" i="2"/>
  <c r="T559" i="2"/>
  <c r="W559" i="2"/>
  <c r="Z559" i="2"/>
  <c r="AC559" i="2"/>
  <c r="AD559" i="2"/>
  <c r="AE559" i="2"/>
  <c r="AI559" i="2"/>
  <c r="AM559" i="2"/>
  <c r="AP559" i="2"/>
  <c r="K561" i="2"/>
  <c r="N561" i="2"/>
  <c r="Q561" i="2"/>
  <c r="T561" i="2"/>
  <c r="W561" i="2"/>
  <c r="Z561" i="2"/>
  <c r="AC561" i="2"/>
  <c r="AD561" i="2"/>
  <c r="AE561" i="2"/>
  <c r="AI561" i="2"/>
  <c r="AM561" i="2"/>
  <c r="AP561" i="2"/>
  <c r="I565" i="2"/>
  <c r="J565" i="2"/>
  <c r="L565" i="2"/>
  <c r="M565" i="2"/>
  <c r="O565" i="2"/>
  <c r="P565" i="2"/>
  <c r="R565" i="2"/>
  <c r="S565" i="2"/>
  <c r="U565" i="2"/>
  <c r="V565" i="2"/>
  <c r="X565" i="2"/>
  <c r="Y565" i="2"/>
  <c r="AA565" i="2"/>
  <c r="AB565" i="2"/>
  <c r="AG565" i="2"/>
  <c r="AH565" i="2"/>
  <c r="AJ565" i="2"/>
  <c r="AK565" i="2"/>
  <c r="AN565" i="2"/>
  <c r="AO565" i="2"/>
  <c r="K566" i="2"/>
  <c r="N566" i="2"/>
  <c r="Q566" i="2"/>
  <c r="T566" i="2"/>
  <c r="W566" i="2"/>
  <c r="Z566" i="2"/>
  <c r="AC566" i="2"/>
  <c r="AD566" i="2"/>
  <c r="AE566" i="2"/>
  <c r="AI566" i="2"/>
  <c r="AM566" i="2"/>
  <c r="AP566" i="2"/>
  <c r="K567" i="2"/>
  <c r="N567" i="2"/>
  <c r="Q567" i="2"/>
  <c r="T567" i="2"/>
  <c r="W567" i="2"/>
  <c r="Z567" i="2"/>
  <c r="AC567" i="2"/>
  <c r="AD567" i="2"/>
  <c r="AE567" i="2"/>
  <c r="AI567" i="2"/>
  <c r="AM567" i="2"/>
  <c r="AP567" i="2"/>
  <c r="AP516" i="2"/>
  <c r="AM516" i="2"/>
  <c r="AI516" i="2"/>
  <c r="AF516" i="2"/>
  <c r="AC516" i="2"/>
  <c r="Z516" i="2"/>
  <c r="W516" i="2"/>
  <c r="T516" i="2"/>
  <c r="Q516" i="2"/>
  <c r="N516" i="2"/>
  <c r="K516" i="2"/>
  <c r="AP515" i="2"/>
  <c r="AM515" i="2"/>
  <c r="AI515" i="2"/>
  <c r="AF515" i="2"/>
  <c r="AC515" i="2"/>
  <c r="Z515" i="2"/>
  <c r="W515" i="2"/>
  <c r="T515" i="2"/>
  <c r="Q515" i="2"/>
  <c r="N515" i="2"/>
  <c r="K515" i="2"/>
  <c r="AP514" i="2"/>
  <c r="AM514" i="2"/>
  <c r="AI514" i="2"/>
  <c r="AF514" i="2"/>
  <c r="AC514" i="2"/>
  <c r="Z514" i="2"/>
  <c r="W514" i="2"/>
  <c r="T514" i="2"/>
  <c r="Q514" i="2"/>
  <c r="N514" i="2"/>
  <c r="K514" i="2"/>
  <c r="AP513" i="2"/>
  <c r="AM513" i="2"/>
  <c r="AI513" i="2"/>
  <c r="AE513" i="2"/>
  <c r="AD513" i="2"/>
  <c r="AC513" i="2"/>
  <c r="Z513" i="2"/>
  <c r="W513" i="2"/>
  <c r="T513" i="2"/>
  <c r="Q513" i="2"/>
  <c r="N513" i="2"/>
  <c r="K513" i="2"/>
  <c r="AO512" i="2"/>
  <c r="AN512" i="2"/>
  <c r="AK512" i="2"/>
  <c r="AJ512" i="2"/>
  <c r="AH512" i="2"/>
  <c r="AG512" i="2"/>
  <c r="Y512" i="2"/>
  <c r="X512" i="2"/>
  <c r="S512" i="2"/>
  <c r="R512" i="2"/>
  <c r="P512" i="2"/>
  <c r="O512" i="2"/>
  <c r="M512" i="2"/>
  <c r="L512" i="2"/>
  <c r="J512" i="2"/>
  <c r="I512" i="2"/>
  <c r="AP511" i="2"/>
  <c r="AM511" i="2"/>
  <c r="AI511" i="2"/>
  <c r="AF511" i="2"/>
  <c r="AC511" i="2"/>
  <c r="Z511" i="2"/>
  <c r="W511" i="2"/>
  <c r="T511" i="2"/>
  <c r="Q511" i="2"/>
  <c r="N511" i="2"/>
  <c r="K511" i="2"/>
  <c r="AP510" i="2"/>
  <c r="AM510" i="2"/>
  <c r="AI510" i="2"/>
  <c r="AF510" i="2"/>
  <c r="AC510" i="2"/>
  <c r="Z510" i="2"/>
  <c r="W510" i="2"/>
  <c r="T510" i="2"/>
  <c r="Q510" i="2"/>
  <c r="N510" i="2"/>
  <c r="K510" i="2"/>
  <c r="AP509" i="2"/>
  <c r="AM509" i="2"/>
  <c r="AI509" i="2"/>
  <c r="AF509" i="2"/>
  <c r="AC509" i="2"/>
  <c r="Z509" i="2"/>
  <c r="W509" i="2"/>
  <c r="T509" i="2"/>
  <c r="Q509" i="2"/>
  <c r="N509" i="2"/>
  <c r="K509" i="2"/>
  <c r="AP508" i="2"/>
  <c r="AM508" i="2"/>
  <c r="AI508" i="2"/>
  <c r="AE508" i="2"/>
  <c r="AD508" i="2"/>
  <c r="AC508" i="2"/>
  <c r="Z508" i="2"/>
  <c r="W508" i="2"/>
  <c r="T508" i="2"/>
  <c r="Q508" i="2"/>
  <c r="N508" i="2"/>
  <c r="K508" i="2"/>
  <c r="AO507" i="2"/>
  <c r="AN507" i="2"/>
  <c r="AK507" i="2"/>
  <c r="AJ507" i="2"/>
  <c r="AH507" i="2"/>
  <c r="AG507" i="2"/>
  <c r="Y507" i="2"/>
  <c r="X507" i="2"/>
  <c r="S507" i="2"/>
  <c r="R507" i="2"/>
  <c r="P507" i="2"/>
  <c r="O507" i="2"/>
  <c r="M507" i="2"/>
  <c r="L507" i="2"/>
  <c r="J507" i="2"/>
  <c r="I507" i="2"/>
  <c r="AP506" i="2"/>
  <c r="AM506" i="2"/>
  <c r="AI506" i="2"/>
  <c r="AF506" i="2"/>
  <c r="AC506" i="2"/>
  <c r="Z506" i="2"/>
  <c r="W506" i="2"/>
  <c r="T506" i="2"/>
  <c r="Q506" i="2"/>
  <c r="N506" i="2"/>
  <c r="K506" i="2"/>
  <c r="AP505" i="2"/>
  <c r="AM505" i="2"/>
  <c r="AI505" i="2"/>
  <c r="AE505" i="2"/>
  <c r="AD505" i="2"/>
  <c r="AC505" i="2"/>
  <c r="Z505" i="2"/>
  <c r="W505" i="2"/>
  <c r="T505" i="2"/>
  <c r="Q505" i="2"/>
  <c r="N505" i="2"/>
  <c r="K505" i="2"/>
  <c r="AO504" i="2"/>
  <c r="AN504" i="2"/>
  <c r="AK504" i="2"/>
  <c r="AJ504" i="2"/>
  <c r="AH504" i="2"/>
  <c r="AG504" i="2"/>
  <c r="AB504" i="2"/>
  <c r="AA504" i="2"/>
  <c r="Y504" i="2"/>
  <c r="X504" i="2"/>
  <c r="V504" i="2"/>
  <c r="U504" i="2"/>
  <c r="S504" i="2"/>
  <c r="R504" i="2"/>
  <c r="P504" i="2"/>
  <c r="O504" i="2"/>
  <c r="M504" i="2"/>
  <c r="L504" i="2"/>
  <c r="J504" i="2"/>
  <c r="I504" i="2"/>
  <c r="AP503" i="2"/>
  <c r="AM503" i="2"/>
  <c r="AI503" i="2"/>
  <c r="AF503" i="2"/>
  <c r="AC503" i="2"/>
  <c r="Z503" i="2"/>
  <c r="W503" i="2"/>
  <c r="T503" i="2"/>
  <c r="Q503" i="2"/>
  <c r="N503" i="2"/>
  <c r="K503" i="2"/>
  <c r="AP502" i="2"/>
  <c r="AM502" i="2"/>
  <c r="AI502" i="2"/>
  <c r="AE502" i="2"/>
  <c r="AD502" i="2"/>
  <c r="AC502" i="2"/>
  <c r="Z502" i="2"/>
  <c r="W502" i="2"/>
  <c r="T502" i="2"/>
  <c r="Q502" i="2"/>
  <c r="N502" i="2"/>
  <c r="K502" i="2"/>
  <c r="AO501" i="2"/>
  <c r="AN501" i="2"/>
  <c r="AK501" i="2"/>
  <c r="AJ501" i="2"/>
  <c r="AH501" i="2"/>
  <c r="AG501" i="2"/>
  <c r="AB501" i="2"/>
  <c r="AA501" i="2"/>
  <c r="Y501" i="2"/>
  <c r="X501" i="2"/>
  <c r="V501" i="2"/>
  <c r="U501" i="2"/>
  <c r="S501" i="2"/>
  <c r="R501" i="2"/>
  <c r="P501" i="2"/>
  <c r="O501" i="2"/>
  <c r="M501" i="2"/>
  <c r="L501" i="2"/>
  <c r="J501" i="2"/>
  <c r="I501" i="2"/>
  <c r="AP500" i="2"/>
  <c r="AM500" i="2"/>
  <c r="AI500" i="2"/>
  <c r="AF500" i="2"/>
  <c r="AC500" i="2"/>
  <c r="Z500" i="2"/>
  <c r="W500" i="2"/>
  <c r="T500" i="2"/>
  <c r="Q500" i="2"/>
  <c r="N500" i="2"/>
  <c r="K500" i="2"/>
  <c r="AP499" i="2"/>
  <c r="AM499" i="2"/>
  <c r="AI499" i="2"/>
  <c r="AF499" i="2"/>
  <c r="AC499" i="2"/>
  <c r="Z499" i="2"/>
  <c r="W499" i="2"/>
  <c r="T499" i="2"/>
  <c r="Q499" i="2"/>
  <c r="N499" i="2"/>
  <c r="K499" i="2"/>
  <c r="AP498" i="2"/>
  <c r="AM498" i="2"/>
  <c r="AI498" i="2"/>
  <c r="AE498" i="2"/>
  <c r="AD498" i="2"/>
  <c r="AC498" i="2"/>
  <c r="Z498" i="2"/>
  <c r="W498" i="2"/>
  <c r="T498" i="2"/>
  <c r="Q498" i="2"/>
  <c r="N498" i="2"/>
  <c r="K498" i="2"/>
  <c r="AO497" i="2"/>
  <c r="AN497" i="2"/>
  <c r="AK497" i="2"/>
  <c r="AJ497" i="2"/>
  <c r="AH497" i="2"/>
  <c r="AG497" i="2"/>
  <c r="AA497" i="2"/>
  <c r="S497" i="2"/>
  <c r="R497" i="2"/>
  <c r="P497" i="2"/>
  <c r="O497" i="2"/>
  <c r="M497" i="2"/>
  <c r="L497" i="2"/>
  <c r="J497" i="2"/>
  <c r="I497" i="2"/>
  <c r="I494" i="2"/>
  <c r="AP496" i="2"/>
  <c r="AM496" i="2"/>
  <c r="AI496" i="2"/>
  <c r="AF496" i="2"/>
  <c r="AC496" i="2"/>
  <c r="Z496" i="2"/>
  <c r="W496" i="2"/>
  <c r="T496" i="2"/>
  <c r="Q496" i="2"/>
  <c r="N496" i="2"/>
  <c r="K496" i="2"/>
  <c r="AP495" i="2"/>
  <c r="AM495" i="2"/>
  <c r="AI495" i="2"/>
  <c r="AE495" i="2"/>
  <c r="AD495" i="2"/>
  <c r="AC495" i="2"/>
  <c r="Z495" i="2"/>
  <c r="W495" i="2"/>
  <c r="T495" i="2"/>
  <c r="Q495" i="2"/>
  <c r="N495" i="2"/>
  <c r="K495" i="2"/>
  <c r="AO494" i="2"/>
  <c r="AN494" i="2"/>
  <c r="AK494" i="2"/>
  <c r="AJ494" i="2"/>
  <c r="AH494" i="2"/>
  <c r="AG494" i="2"/>
  <c r="AB494" i="2"/>
  <c r="AA494" i="2"/>
  <c r="Y494" i="2"/>
  <c r="X494" i="2"/>
  <c r="V494" i="2"/>
  <c r="U494" i="2"/>
  <c r="S494" i="2"/>
  <c r="R494" i="2"/>
  <c r="P494" i="2"/>
  <c r="O494" i="2"/>
  <c r="M494" i="2"/>
  <c r="L494" i="2"/>
  <c r="J494" i="2"/>
  <c r="AP493" i="2"/>
  <c r="AM493" i="2"/>
  <c r="AI493" i="2"/>
  <c r="AF493" i="2"/>
  <c r="AC493" i="2"/>
  <c r="Z493" i="2"/>
  <c r="W493" i="2"/>
  <c r="T493" i="2"/>
  <c r="Q493" i="2"/>
  <c r="N493" i="2"/>
  <c r="K493" i="2"/>
  <c r="AP492" i="2"/>
  <c r="AM492" i="2"/>
  <c r="AI492" i="2"/>
  <c r="AF492" i="2"/>
  <c r="AC492" i="2"/>
  <c r="Z492" i="2"/>
  <c r="W492" i="2"/>
  <c r="T492" i="2"/>
  <c r="Q492" i="2"/>
  <c r="N492" i="2"/>
  <c r="K492" i="2"/>
  <c r="AP491" i="2"/>
  <c r="AM491" i="2"/>
  <c r="AI491" i="2"/>
  <c r="AE491" i="2"/>
  <c r="AD491" i="2"/>
  <c r="AC491" i="2"/>
  <c r="Z491" i="2"/>
  <c r="W491" i="2"/>
  <c r="T491" i="2"/>
  <c r="Q491" i="2"/>
  <c r="N491" i="2"/>
  <c r="K491" i="2"/>
  <c r="AO490" i="2"/>
  <c r="AN490" i="2"/>
  <c r="AK490" i="2"/>
  <c r="AJ490" i="2"/>
  <c r="AH490" i="2"/>
  <c r="AG490" i="2"/>
  <c r="AA490" i="2"/>
  <c r="S490" i="2"/>
  <c r="R490" i="2"/>
  <c r="P490" i="2"/>
  <c r="O490" i="2"/>
  <c r="M490" i="2"/>
  <c r="L490" i="2"/>
  <c r="J490" i="2"/>
  <c r="I490" i="2"/>
  <c r="AP489" i="2"/>
  <c r="AM489" i="2"/>
  <c r="AI489" i="2"/>
  <c r="AF489" i="2"/>
  <c r="AC489" i="2"/>
  <c r="Z489" i="2"/>
  <c r="W489" i="2"/>
  <c r="T489" i="2"/>
  <c r="Q489" i="2"/>
  <c r="N489" i="2"/>
  <c r="K489" i="2"/>
  <c r="AP488" i="2"/>
  <c r="AM488" i="2"/>
  <c r="AI488" i="2"/>
  <c r="AF488" i="2"/>
  <c r="AC488" i="2"/>
  <c r="Z488" i="2"/>
  <c r="W488" i="2"/>
  <c r="T488" i="2"/>
  <c r="Q488" i="2"/>
  <c r="N488" i="2"/>
  <c r="K488" i="2"/>
  <c r="AP487" i="2"/>
  <c r="AM487" i="2"/>
  <c r="AI487" i="2"/>
  <c r="AE487" i="2"/>
  <c r="AD487" i="2"/>
  <c r="AC487" i="2"/>
  <c r="Z487" i="2"/>
  <c r="W487" i="2"/>
  <c r="T487" i="2"/>
  <c r="Q487" i="2"/>
  <c r="N487" i="2"/>
  <c r="K487" i="2"/>
  <c r="AO486" i="2"/>
  <c r="AN486" i="2"/>
  <c r="AK486" i="2"/>
  <c r="AJ486" i="2"/>
  <c r="AH486" i="2"/>
  <c r="AG486" i="2"/>
  <c r="AA486" i="2"/>
  <c r="S486" i="2"/>
  <c r="R486" i="2"/>
  <c r="P486" i="2"/>
  <c r="O486" i="2"/>
  <c r="M486" i="2"/>
  <c r="L486" i="2"/>
  <c r="J486" i="2"/>
  <c r="I486" i="2"/>
  <c r="AP485" i="2"/>
  <c r="AM485" i="2"/>
  <c r="AI485" i="2"/>
  <c r="AF485" i="2"/>
  <c r="AC485" i="2"/>
  <c r="Z485" i="2"/>
  <c r="W485" i="2"/>
  <c r="T485" i="2"/>
  <c r="Q485" i="2"/>
  <c r="N485" i="2"/>
  <c r="K485" i="2"/>
  <c r="AP484" i="2"/>
  <c r="AM484" i="2"/>
  <c r="AI484" i="2"/>
  <c r="AF484" i="2"/>
  <c r="AC484" i="2"/>
  <c r="Z484" i="2"/>
  <c r="W484" i="2"/>
  <c r="T484" i="2"/>
  <c r="Q484" i="2"/>
  <c r="N484" i="2"/>
  <c r="K484" i="2"/>
  <c r="AP483" i="2"/>
  <c r="AM483" i="2"/>
  <c r="AI483" i="2"/>
  <c r="AE483" i="2"/>
  <c r="AC483" i="2"/>
  <c r="Z483" i="2"/>
  <c r="W483" i="2"/>
  <c r="T483" i="2"/>
  <c r="Q483" i="2"/>
  <c r="N483" i="2"/>
  <c r="K483" i="2"/>
  <c r="AO482" i="2"/>
  <c r="AN482" i="2"/>
  <c r="AK482" i="2"/>
  <c r="AJ482" i="2"/>
  <c r="AH482" i="2"/>
  <c r="AG482" i="2"/>
  <c r="AA482" i="2"/>
  <c r="S482" i="2"/>
  <c r="R482" i="2"/>
  <c r="P482" i="2"/>
  <c r="O482" i="2"/>
  <c r="M482" i="2"/>
  <c r="L482" i="2"/>
  <c r="J482" i="2"/>
  <c r="I482" i="2"/>
  <c r="I473" i="2"/>
  <c r="AP478" i="2"/>
  <c r="AM478" i="2"/>
  <c r="AI478" i="2"/>
  <c r="AF478" i="2"/>
  <c r="AC478" i="2"/>
  <c r="Z478" i="2"/>
  <c r="W478" i="2"/>
  <c r="T478" i="2"/>
  <c r="Q478" i="2"/>
  <c r="N478" i="2"/>
  <c r="K478" i="2"/>
  <c r="AP477" i="2"/>
  <c r="AM477" i="2"/>
  <c r="AI477" i="2"/>
  <c r="AF477" i="2"/>
  <c r="AC477" i="2"/>
  <c r="Z477" i="2"/>
  <c r="W477" i="2"/>
  <c r="T477" i="2"/>
  <c r="Q477" i="2"/>
  <c r="N477" i="2"/>
  <c r="K477" i="2"/>
  <c r="AP476" i="2"/>
  <c r="AM476" i="2"/>
  <c r="AI476" i="2"/>
  <c r="AF476" i="2"/>
  <c r="AC476" i="2"/>
  <c r="Z476" i="2"/>
  <c r="W476" i="2"/>
  <c r="T476" i="2"/>
  <c r="Q476" i="2"/>
  <c r="N476" i="2"/>
  <c r="K476" i="2"/>
  <c r="AP475" i="2"/>
  <c r="AM475" i="2"/>
  <c r="AI475" i="2"/>
  <c r="AF475" i="2"/>
  <c r="AC475" i="2"/>
  <c r="Z475" i="2"/>
  <c r="W475" i="2"/>
  <c r="T475" i="2"/>
  <c r="Q475" i="2"/>
  <c r="N475" i="2"/>
  <c r="K475" i="2"/>
  <c r="AP474" i="2"/>
  <c r="AM474" i="2"/>
  <c r="AI474" i="2"/>
  <c r="AE474" i="2"/>
  <c r="AC474" i="2"/>
  <c r="Z474" i="2"/>
  <c r="W474" i="2"/>
  <c r="T474" i="2"/>
  <c r="Q474" i="2"/>
  <c r="N474" i="2"/>
  <c r="K474" i="2"/>
  <c r="AO473" i="2"/>
  <c r="AN473" i="2"/>
  <c r="AK473" i="2"/>
  <c r="AJ473" i="2"/>
  <c r="AH473" i="2"/>
  <c r="AG473" i="2"/>
  <c r="AB473" i="2"/>
  <c r="AA473" i="2"/>
  <c r="Y473" i="2"/>
  <c r="X473" i="2"/>
  <c r="V473" i="2"/>
  <c r="U473" i="2"/>
  <c r="U468" i="2" s="1"/>
  <c r="S473" i="2"/>
  <c r="R473" i="2"/>
  <c r="P473" i="2"/>
  <c r="O473" i="2"/>
  <c r="M473" i="2"/>
  <c r="L473" i="2"/>
  <c r="J473" i="2"/>
  <c r="AP472" i="2"/>
  <c r="AM472" i="2"/>
  <c r="AI472" i="2"/>
  <c r="AF472" i="2"/>
  <c r="AC472" i="2"/>
  <c r="Z472" i="2"/>
  <c r="W472" i="2"/>
  <c r="T472" i="2"/>
  <c r="Q472" i="2"/>
  <c r="N472" i="2"/>
  <c r="K472" i="2"/>
  <c r="AP471" i="2"/>
  <c r="AM471" i="2"/>
  <c r="AI471" i="2"/>
  <c r="AF471" i="2"/>
  <c r="AC471" i="2"/>
  <c r="Z471" i="2"/>
  <c r="W471" i="2"/>
  <c r="T471" i="2"/>
  <c r="Q471" i="2"/>
  <c r="N471" i="2"/>
  <c r="K471" i="2"/>
  <c r="AP470" i="2"/>
  <c r="AM470" i="2"/>
  <c r="AI470" i="2"/>
  <c r="AF470" i="2"/>
  <c r="AC470" i="2"/>
  <c r="Z470" i="2"/>
  <c r="W470" i="2"/>
  <c r="T470" i="2"/>
  <c r="Q470" i="2"/>
  <c r="N470" i="2"/>
  <c r="K470" i="2"/>
  <c r="AP469" i="2"/>
  <c r="AM469" i="2"/>
  <c r="AI469" i="2"/>
  <c r="AE469" i="2"/>
  <c r="AD469" i="2"/>
  <c r="AC469" i="2"/>
  <c r="Z469" i="2"/>
  <c r="W469" i="2"/>
  <c r="T469" i="2"/>
  <c r="Q469" i="2"/>
  <c r="N469" i="2"/>
  <c r="K469" i="2"/>
  <c r="AO468" i="2"/>
  <c r="AN468" i="2"/>
  <c r="AK468" i="2"/>
  <c r="AJ468" i="2"/>
  <c r="AH468" i="2"/>
  <c r="AG468" i="2"/>
  <c r="AB468" i="2"/>
  <c r="Y468" i="2"/>
  <c r="X468" i="2"/>
  <c r="S468" i="2"/>
  <c r="R468" i="2"/>
  <c r="P468" i="2"/>
  <c r="O468" i="2"/>
  <c r="M468" i="2"/>
  <c r="L468" i="2"/>
  <c r="J468" i="2"/>
  <c r="I468" i="2"/>
  <c r="AP467" i="2"/>
  <c r="AM467" i="2"/>
  <c r="AI467" i="2"/>
  <c r="AF467" i="2"/>
  <c r="AC467" i="2"/>
  <c r="Z467" i="2"/>
  <c r="W467" i="2"/>
  <c r="T467" i="2"/>
  <c r="Q467" i="2"/>
  <c r="N467" i="2"/>
  <c r="K467" i="2"/>
  <c r="AP466" i="2"/>
  <c r="AM466" i="2"/>
  <c r="AI466" i="2"/>
  <c r="AC466" i="2"/>
  <c r="Z466" i="2"/>
  <c r="W466" i="2"/>
  <c r="T466" i="2"/>
  <c r="Q466" i="2"/>
  <c r="N466" i="2"/>
  <c r="K466" i="2"/>
  <c r="AO465" i="2"/>
  <c r="AN465" i="2"/>
  <c r="AK465" i="2"/>
  <c r="AJ465" i="2"/>
  <c r="AH465" i="2"/>
  <c r="AG465" i="2"/>
  <c r="AB465" i="2"/>
  <c r="AA465" i="2"/>
  <c r="Y465" i="2"/>
  <c r="X465" i="2"/>
  <c r="V465" i="2"/>
  <c r="U465" i="2"/>
  <c r="S465" i="2"/>
  <c r="R465" i="2"/>
  <c r="P465" i="2"/>
  <c r="O465" i="2"/>
  <c r="M465" i="2"/>
  <c r="L465" i="2"/>
  <c r="J465" i="2"/>
  <c r="I465" i="2"/>
  <c r="AP464" i="2"/>
  <c r="AM464" i="2"/>
  <c r="AI464" i="2"/>
  <c r="AF464" i="2"/>
  <c r="AC464" i="2"/>
  <c r="Z464" i="2"/>
  <c r="W464" i="2"/>
  <c r="T464" i="2"/>
  <c r="Q464" i="2"/>
  <c r="N464" i="2"/>
  <c r="K464" i="2"/>
  <c r="AP463" i="2"/>
  <c r="AM463" i="2"/>
  <c r="AI463" i="2"/>
  <c r="AC463" i="2"/>
  <c r="Z463" i="2"/>
  <c r="W463" i="2"/>
  <c r="T463" i="2"/>
  <c r="Q463" i="2"/>
  <c r="N463" i="2"/>
  <c r="K463" i="2"/>
  <c r="AO462" i="2"/>
  <c r="AN462" i="2"/>
  <c r="AK462" i="2"/>
  <c r="AJ462" i="2"/>
  <c r="AH462" i="2"/>
  <c r="AG462" i="2"/>
  <c r="AB462" i="2"/>
  <c r="AA462" i="2"/>
  <c r="Y462" i="2"/>
  <c r="X462" i="2"/>
  <c r="V462" i="2"/>
  <c r="U462" i="2"/>
  <c r="S462" i="2"/>
  <c r="R462" i="2"/>
  <c r="P462" i="2"/>
  <c r="O462" i="2"/>
  <c r="M462" i="2"/>
  <c r="L462" i="2"/>
  <c r="J462" i="2"/>
  <c r="I462" i="2"/>
  <c r="AO453" i="2"/>
  <c r="AN453" i="2"/>
  <c r="AK453" i="2"/>
  <c r="AJ453" i="2"/>
  <c r="AH453" i="2"/>
  <c r="AG453" i="2"/>
  <c r="AB453" i="2"/>
  <c r="AA453" i="2"/>
  <c r="Y453" i="2"/>
  <c r="X453" i="2"/>
  <c r="V453" i="2"/>
  <c r="U453" i="2"/>
  <c r="S453" i="2"/>
  <c r="R453" i="2"/>
  <c r="P453" i="2"/>
  <c r="O453" i="2"/>
  <c r="M453" i="2"/>
  <c r="L453" i="2"/>
  <c r="J453" i="2"/>
  <c r="I453" i="2"/>
  <c r="AP461" i="2"/>
  <c r="AM461" i="2"/>
  <c r="AI461" i="2"/>
  <c r="AF461" i="2"/>
  <c r="AC461" i="2"/>
  <c r="Z461" i="2"/>
  <c r="W461" i="2"/>
  <c r="T461" i="2"/>
  <c r="Q461" i="2"/>
  <c r="N461" i="2"/>
  <c r="K461" i="2"/>
  <c r="AP460" i="2"/>
  <c r="AM460" i="2"/>
  <c r="AI460" i="2"/>
  <c r="AE460" i="2"/>
  <c r="AD460" i="2"/>
  <c r="AC460" i="2"/>
  <c r="Z460" i="2"/>
  <c r="W460" i="2"/>
  <c r="T460" i="2"/>
  <c r="Q460" i="2"/>
  <c r="N460" i="2"/>
  <c r="K460" i="2"/>
  <c r="AO459" i="2"/>
  <c r="AN459" i="2"/>
  <c r="AK459" i="2"/>
  <c r="AJ459" i="2"/>
  <c r="AH459" i="2"/>
  <c r="AG459" i="2"/>
  <c r="AB459" i="2"/>
  <c r="AA459" i="2"/>
  <c r="Y459" i="2"/>
  <c r="X459" i="2"/>
  <c r="V459" i="2"/>
  <c r="U459" i="2"/>
  <c r="S459" i="2"/>
  <c r="R459" i="2"/>
  <c r="P459" i="2"/>
  <c r="O459" i="2"/>
  <c r="M459" i="2"/>
  <c r="L459" i="2"/>
  <c r="J459" i="2"/>
  <c r="I459" i="2"/>
  <c r="AP458" i="2"/>
  <c r="AM458" i="2"/>
  <c r="AI458" i="2"/>
  <c r="AF458" i="2"/>
  <c r="AC458" i="2"/>
  <c r="Z458" i="2"/>
  <c r="W458" i="2"/>
  <c r="T458" i="2"/>
  <c r="Q458" i="2"/>
  <c r="N458" i="2"/>
  <c r="K458" i="2"/>
  <c r="AP457" i="2"/>
  <c r="AM457" i="2"/>
  <c r="AI457" i="2"/>
  <c r="AF457" i="2"/>
  <c r="AC457" i="2"/>
  <c r="Z457" i="2"/>
  <c r="W457" i="2"/>
  <c r="T457" i="2"/>
  <c r="Q457" i="2"/>
  <c r="N457" i="2"/>
  <c r="K457" i="2"/>
  <c r="AP456" i="2"/>
  <c r="AM456" i="2"/>
  <c r="AI456" i="2"/>
  <c r="AF456" i="2"/>
  <c r="AC456" i="2"/>
  <c r="Z456" i="2"/>
  <c r="W456" i="2"/>
  <c r="T456" i="2"/>
  <c r="Q456" i="2"/>
  <c r="N456" i="2"/>
  <c r="K456" i="2"/>
  <c r="AP455" i="2"/>
  <c r="AM455" i="2"/>
  <c r="AI455" i="2"/>
  <c r="AF455" i="2"/>
  <c r="AC455" i="2"/>
  <c r="Z455" i="2"/>
  <c r="W455" i="2"/>
  <c r="T455" i="2"/>
  <c r="Q455" i="2"/>
  <c r="N455" i="2"/>
  <c r="K455" i="2"/>
  <c r="AP454" i="2"/>
  <c r="AM454" i="2"/>
  <c r="AI454" i="2"/>
  <c r="AE454" i="2"/>
  <c r="AD454" i="2"/>
  <c r="AC454" i="2"/>
  <c r="Z454" i="2"/>
  <c r="W454" i="2"/>
  <c r="T454" i="2"/>
  <c r="Q454" i="2"/>
  <c r="N454" i="2"/>
  <c r="K454" i="2"/>
  <c r="AO451" i="2"/>
  <c r="AN451" i="2"/>
  <c r="AK451" i="2"/>
  <c r="AJ451" i="2"/>
  <c r="AH451" i="2"/>
  <c r="AG451" i="2"/>
  <c r="AB451" i="2"/>
  <c r="AA451" i="2"/>
  <c r="Y451" i="2"/>
  <c r="X451" i="2"/>
  <c r="V451" i="2"/>
  <c r="U451" i="2"/>
  <c r="S451" i="2"/>
  <c r="R451" i="2"/>
  <c r="P451" i="2"/>
  <c r="O451" i="2"/>
  <c r="M451" i="2"/>
  <c r="L451" i="2"/>
  <c r="J451" i="2"/>
  <c r="I451" i="2"/>
  <c r="AP452" i="2"/>
  <c r="AM452" i="2"/>
  <c r="AI452" i="2"/>
  <c r="AE452" i="2"/>
  <c r="AC452" i="2"/>
  <c r="Z452" i="2"/>
  <c r="W452" i="2"/>
  <c r="T452" i="2"/>
  <c r="Q452" i="2"/>
  <c r="N452" i="2"/>
  <c r="K452" i="2"/>
  <c r="AP450" i="2"/>
  <c r="AM450" i="2"/>
  <c r="AI450" i="2"/>
  <c r="AF450" i="2"/>
  <c r="AC450" i="2"/>
  <c r="Z450" i="2"/>
  <c r="W450" i="2"/>
  <c r="T450" i="2"/>
  <c r="Q450" i="2"/>
  <c r="N450" i="2"/>
  <c r="K450" i="2"/>
  <c r="AP449" i="2"/>
  <c r="AM449" i="2"/>
  <c r="AI449" i="2"/>
  <c r="AE449" i="2"/>
  <c r="AC449" i="2"/>
  <c r="Z449" i="2"/>
  <c r="W449" i="2"/>
  <c r="T449" i="2"/>
  <c r="Q449" i="2"/>
  <c r="N449" i="2"/>
  <c r="K449" i="2"/>
  <c r="AO448" i="2"/>
  <c r="AN448" i="2"/>
  <c r="AK448" i="2"/>
  <c r="AJ448" i="2"/>
  <c r="AH448" i="2"/>
  <c r="AG448" i="2"/>
  <c r="AB448" i="2"/>
  <c r="AA448" i="2"/>
  <c r="AA443" i="2" s="1"/>
  <c r="Y448" i="2"/>
  <c r="X448" i="2"/>
  <c r="V448" i="2"/>
  <c r="V443" i="2" s="1"/>
  <c r="U448" i="2"/>
  <c r="U443" i="2" s="1"/>
  <c r="S448" i="2"/>
  <c r="R448" i="2"/>
  <c r="P448" i="2"/>
  <c r="O448" i="2"/>
  <c r="M448" i="2"/>
  <c r="L448" i="2"/>
  <c r="J448" i="2"/>
  <c r="I448" i="2"/>
  <c r="AO443" i="2"/>
  <c r="AN443" i="2"/>
  <c r="AK443" i="2"/>
  <c r="AJ443" i="2"/>
  <c r="AH443" i="2"/>
  <c r="AG443" i="2"/>
  <c r="AB443" i="2"/>
  <c r="Y443" i="2"/>
  <c r="X443" i="2"/>
  <c r="S443" i="2"/>
  <c r="R443" i="2"/>
  <c r="P443" i="2"/>
  <c r="O443" i="2"/>
  <c r="M443" i="2"/>
  <c r="L443" i="2"/>
  <c r="J443" i="2"/>
  <c r="I443" i="2"/>
  <c r="AP447" i="2"/>
  <c r="AM447" i="2"/>
  <c r="AI447" i="2"/>
  <c r="AF447" i="2"/>
  <c r="AC447" i="2"/>
  <c r="Z447" i="2"/>
  <c r="W447" i="2"/>
  <c r="T447" i="2"/>
  <c r="Q447" i="2"/>
  <c r="N447" i="2"/>
  <c r="K447" i="2"/>
  <c r="AP446" i="2"/>
  <c r="AM446" i="2"/>
  <c r="AI446" i="2"/>
  <c r="AF446" i="2"/>
  <c r="AC446" i="2"/>
  <c r="Z446" i="2"/>
  <c r="W446" i="2"/>
  <c r="T446" i="2"/>
  <c r="Q446" i="2"/>
  <c r="N446" i="2"/>
  <c r="K446" i="2"/>
  <c r="AP445" i="2"/>
  <c r="AM445" i="2"/>
  <c r="AI445" i="2"/>
  <c r="AF445" i="2"/>
  <c r="AC445" i="2"/>
  <c r="Z445" i="2"/>
  <c r="W445" i="2"/>
  <c r="T445" i="2"/>
  <c r="Q445" i="2"/>
  <c r="N445" i="2"/>
  <c r="K445" i="2"/>
  <c r="AP444" i="2"/>
  <c r="AM444" i="2"/>
  <c r="AI444" i="2"/>
  <c r="AE444" i="2"/>
  <c r="AD444" i="2"/>
  <c r="AC444" i="2"/>
  <c r="Z444" i="2"/>
  <c r="W444" i="2"/>
  <c r="T444" i="2"/>
  <c r="Q444" i="2"/>
  <c r="N444" i="2"/>
  <c r="K444" i="2"/>
  <c r="AO439" i="2"/>
  <c r="AN439" i="2"/>
  <c r="AK439" i="2"/>
  <c r="AJ439" i="2"/>
  <c r="AH439" i="2"/>
  <c r="AG439" i="2"/>
  <c r="AA439" i="2"/>
  <c r="S439" i="2"/>
  <c r="R439" i="2"/>
  <c r="P439" i="2"/>
  <c r="O439" i="2"/>
  <c r="M439" i="2"/>
  <c r="L439" i="2"/>
  <c r="J439" i="2"/>
  <c r="I439" i="2"/>
  <c r="AP442" i="2"/>
  <c r="AM442" i="2"/>
  <c r="AI442" i="2"/>
  <c r="AF442" i="2"/>
  <c r="AC442" i="2"/>
  <c r="Z442" i="2"/>
  <c r="W442" i="2"/>
  <c r="T442" i="2"/>
  <c r="Q442" i="2"/>
  <c r="N442" i="2"/>
  <c r="K442" i="2"/>
  <c r="AP441" i="2"/>
  <c r="AM441" i="2"/>
  <c r="AI441" i="2"/>
  <c r="AF441" i="2"/>
  <c r="AC441" i="2"/>
  <c r="Z441" i="2"/>
  <c r="W441" i="2"/>
  <c r="T441" i="2"/>
  <c r="Q441" i="2"/>
  <c r="N441" i="2"/>
  <c r="K441" i="2"/>
  <c r="AP440" i="2"/>
  <c r="AM440" i="2"/>
  <c r="AI440" i="2"/>
  <c r="AE440" i="2"/>
  <c r="AD440" i="2"/>
  <c r="AC440" i="2"/>
  <c r="Z440" i="2"/>
  <c r="W440" i="2"/>
  <c r="T440" i="2"/>
  <c r="Q440" i="2"/>
  <c r="N440" i="2"/>
  <c r="K440" i="2"/>
  <c r="AO436" i="2"/>
  <c r="AN436" i="2"/>
  <c r="AK436" i="2"/>
  <c r="AJ436" i="2"/>
  <c r="AH436" i="2"/>
  <c r="AG436" i="2"/>
  <c r="AB436" i="2"/>
  <c r="AA436" i="2"/>
  <c r="Y436" i="2"/>
  <c r="X436" i="2"/>
  <c r="V436" i="2"/>
  <c r="U436" i="2"/>
  <c r="S436" i="2"/>
  <c r="R436" i="2"/>
  <c r="P436" i="2"/>
  <c r="O436" i="2"/>
  <c r="M436" i="2"/>
  <c r="L436" i="2"/>
  <c r="J436" i="2"/>
  <c r="I436" i="2"/>
  <c r="AP438" i="2"/>
  <c r="AM438" i="2"/>
  <c r="AI438" i="2"/>
  <c r="AF438" i="2"/>
  <c r="AC438" i="2"/>
  <c r="Z438" i="2"/>
  <c r="W438" i="2"/>
  <c r="T438" i="2"/>
  <c r="Q438" i="2"/>
  <c r="N438" i="2"/>
  <c r="K438" i="2"/>
  <c r="AP437" i="2"/>
  <c r="AM437" i="2"/>
  <c r="AI437" i="2"/>
  <c r="AE437" i="2"/>
  <c r="AD437" i="2"/>
  <c r="AC437" i="2"/>
  <c r="Z437" i="2"/>
  <c r="W437" i="2"/>
  <c r="T437" i="2"/>
  <c r="Q437" i="2"/>
  <c r="N437" i="2"/>
  <c r="K437" i="2"/>
  <c r="AO428" i="2"/>
  <c r="AN428" i="2"/>
  <c r="AK428" i="2"/>
  <c r="AJ428" i="2"/>
  <c r="AH428" i="2"/>
  <c r="AG428" i="2"/>
  <c r="AB428" i="2"/>
  <c r="AA428" i="2"/>
  <c r="Y428" i="2"/>
  <c r="X428" i="2"/>
  <c r="V428" i="2"/>
  <c r="U428" i="2"/>
  <c r="S428" i="2"/>
  <c r="R428" i="2"/>
  <c r="P428" i="2"/>
  <c r="O428" i="2"/>
  <c r="M428" i="2"/>
  <c r="L428" i="2"/>
  <c r="J428" i="2"/>
  <c r="I428" i="2"/>
  <c r="AP435" i="2"/>
  <c r="AM435" i="2"/>
  <c r="AI435" i="2"/>
  <c r="AF435" i="2"/>
  <c r="AC435" i="2"/>
  <c r="Z435" i="2"/>
  <c r="W435" i="2"/>
  <c r="T435" i="2"/>
  <c r="Q435" i="2"/>
  <c r="N435" i="2"/>
  <c r="K435" i="2"/>
  <c r="AP434" i="2"/>
  <c r="AM434" i="2"/>
  <c r="AI434" i="2"/>
  <c r="AF434" i="2"/>
  <c r="AC434" i="2"/>
  <c r="Z434" i="2"/>
  <c r="W434" i="2"/>
  <c r="T434" i="2"/>
  <c r="Q434" i="2"/>
  <c r="N434" i="2"/>
  <c r="K434" i="2"/>
  <c r="AP433" i="2"/>
  <c r="AM433" i="2"/>
  <c r="AI433" i="2"/>
  <c r="AF433" i="2"/>
  <c r="AC433" i="2"/>
  <c r="Z433" i="2"/>
  <c r="W433" i="2"/>
  <c r="T433" i="2"/>
  <c r="Q433" i="2"/>
  <c r="N433" i="2"/>
  <c r="K433" i="2"/>
  <c r="AP432" i="2"/>
  <c r="AM432" i="2"/>
  <c r="AI432" i="2"/>
  <c r="AF432" i="2"/>
  <c r="AC432" i="2"/>
  <c r="Z432" i="2"/>
  <c r="W432" i="2"/>
  <c r="T432" i="2"/>
  <c r="Q432" i="2"/>
  <c r="N432" i="2"/>
  <c r="K432" i="2"/>
  <c r="AP431" i="2"/>
  <c r="AM431" i="2"/>
  <c r="AI431" i="2"/>
  <c r="AF431" i="2"/>
  <c r="AC431" i="2"/>
  <c r="Z431" i="2"/>
  <c r="W431" i="2"/>
  <c r="T431" i="2"/>
  <c r="Q431" i="2"/>
  <c r="N431" i="2"/>
  <c r="K431" i="2"/>
  <c r="AP430" i="2"/>
  <c r="AM430" i="2"/>
  <c r="AI430" i="2"/>
  <c r="AF430" i="2"/>
  <c r="AC430" i="2"/>
  <c r="Z430" i="2"/>
  <c r="W430" i="2"/>
  <c r="T430" i="2"/>
  <c r="Q430" i="2"/>
  <c r="N430" i="2"/>
  <c r="K430" i="2"/>
  <c r="AP429" i="2"/>
  <c r="AM429" i="2"/>
  <c r="AI429" i="2"/>
  <c r="AE429" i="2"/>
  <c r="AC429" i="2"/>
  <c r="Z429" i="2"/>
  <c r="W429" i="2"/>
  <c r="T429" i="2"/>
  <c r="Q429" i="2"/>
  <c r="N429" i="2"/>
  <c r="K429" i="2"/>
  <c r="AO421" i="2"/>
  <c r="AN421" i="2"/>
  <c r="AK421" i="2"/>
  <c r="AJ421" i="2"/>
  <c r="AH421" i="2"/>
  <c r="AG421" i="2"/>
  <c r="AB421" i="2"/>
  <c r="AB419" i="2" s="1"/>
  <c r="AA421" i="2"/>
  <c r="Y421" i="2"/>
  <c r="X421" i="2"/>
  <c r="V421" i="2"/>
  <c r="U421" i="2"/>
  <c r="S421" i="2"/>
  <c r="R421" i="2"/>
  <c r="P421" i="2"/>
  <c r="O421" i="2"/>
  <c r="M421" i="2"/>
  <c r="L421" i="2"/>
  <c r="J421" i="2"/>
  <c r="I421" i="2"/>
  <c r="I41" i="3" l="1"/>
  <c r="T41" i="3" s="1"/>
  <c r="O479" i="2"/>
  <c r="AJ479" i="2"/>
  <c r="M32" i="3" s="1"/>
  <c r="U479" i="2"/>
  <c r="R479" i="2"/>
  <c r="AN479" i="2"/>
  <c r="P32" i="3" s="1"/>
  <c r="AO479" i="2"/>
  <c r="Q32" i="3" s="1"/>
  <c r="P479" i="2"/>
  <c r="AK479" i="2"/>
  <c r="N32" i="3" s="1"/>
  <c r="S479" i="2"/>
  <c r="I479" i="2"/>
  <c r="J479" i="2"/>
  <c r="L479" i="2"/>
  <c r="AG479" i="2"/>
  <c r="J32" i="3" s="1"/>
  <c r="M479" i="2"/>
  <c r="AH479" i="2"/>
  <c r="K32" i="3" s="1"/>
  <c r="AQ623" i="2"/>
  <c r="AQ641" i="2" s="1"/>
  <c r="AF641" i="2"/>
  <c r="AQ587" i="2"/>
  <c r="AF620" i="2"/>
  <c r="Z661" i="2"/>
  <c r="AQ612" i="2"/>
  <c r="V562" i="2"/>
  <c r="Y562" i="2"/>
  <c r="X562" i="2"/>
  <c r="U562" i="2"/>
  <c r="U642" i="2" s="1"/>
  <c r="AO562" i="2"/>
  <c r="Q39" i="3" s="1"/>
  <c r="S562" i="2"/>
  <c r="AN562" i="2"/>
  <c r="P39" i="3" s="1"/>
  <c r="R562" i="2"/>
  <c r="AK562" i="2"/>
  <c r="N39" i="3" s="1"/>
  <c r="P562" i="2"/>
  <c r="AJ562" i="2"/>
  <c r="M39" i="3" s="1"/>
  <c r="O562" i="2"/>
  <c r="AH562" i="2"/>
  <c r="K39" i="3" s="1"/>
  <c r="M562" i="2"/>
  <c r="AG562" i="2"/>
  <c r="J39" i="3" s="1"/>
  <c r="L562" i="2"/>
  <c r="AB562" i="2"/>
  <c r="J562" i="2"/>
  <c r="AA562" i="2"/>
  <c r="I562" i="2"/>
  <c r="P709" i="2"/>
  <c r="P764" i="2" s="1"/>
  <c r="S709" i="2"/>
  <c r="S764" i="2" s="1"/>
  <c r="R709" i="2"/>
  <c r="R764" i="2" s="1"/>
  <c r="AG709" i="2"/>
  <c r="AH709" i="2"/>
  <c r="AJ709" i="2"/>
  <c r="I709" i="2"/>
  <c r="I764" i="2" s="1"/>
  <c r="AK709" i="2"/>
  <c r="J709" i="2"/>
  <c r="J764" i="2" s="1"/>
  <c r="AN709" i="2"/>
  <c r="L709" i="2"/>
  <c r="L764" i="2" s="1"/>
  <c r="AO709" i="2"/>
  <c r="M709" i="2"/>
  <c r="M764" i="2" s="1"/>
  <c r="O709" i="2"/>
  <c r="O764" i="2" s="1"/>
  <c r="AQ666" i="2"/>
  <c r="AQ681" i="2"/>
  <c r="AQ680" i="2"/>
  <c r="T705" i="2"/>
  <c r="AM701" i="2"/>
  <c r="AQ674" i="2"/>
  <c r="AQ676" i="2"/>
  <c r="AQ675" i="2"/>
  <c r="AQ668" i="2"/>
  <c r="AQ667" i="2"/>
  <c r="AM655" i="2"/>
  <c r="N678" i="2"/>
  <c r="AM664" i="2"/>
  <c r="T661" i="2"/>
  <c r="AF671" i="2"/>
  <c r="AQ671" i="2" s="1"/>
  <c r="T670" i="2"/>
  <c r="AQ653" i="2"/>
  <c r="T664" i="2"/>
  <c r="AP664" i="2"/>
  <c r="Z705" i="2"/>
  <c r="AQ660" i="2"/>
  <c r="AM661" i="2"/>
  <c r="AI683" i="2"/>
  <c r="N705" i="2"/>
  <c r="AI705" i="2"/>
  <c r="Z701" i="2"/>
  <c r="AP705" i="2"/>
  <c r="AM670" i="2"/>
  <c r="Z672" i="2"/>
  <c r="Z683" i="2"/>
  <c r="T686" i="2"/>
  <c r="AF662" i="2"/>
  <c r="AQ662" i="2" s="1"/>
  <c r="W701" i="2"/>
  <c r="Z664" i="2"/>
  <c r="Q670" i="2"/>
  <c r="AM672" i="2"/>
  <c r="AQ677" i="2"/>
  <c r="N683" i="2"/>
  <c r="T694" i="2"/>
  <c r="T672" i="2"/>
  <c r="N686" i="2"/>
  <c r="T650" i="2"/>
  <c r="Z678" i="2"/>
  <c r="W694" i="2"/>
  <c r="AE701" i="2"/>
  <c r="N701" i="2"/>
  <c r="AP672" i="2"/>
  <c r="AQ669" i="2"/>
  <c r="Z694" i="2"/>
  <c r="AQ693" i="2"/>
  <c r="AE694" i="2"/>
  <c r="AC694" i="2"/>
  <c r="T701" i="2"/>
  <c r="AM678" i="2"/>
  <c r="AQ682" i="2"/>
  <c r="AP650" i="2"/>
  <c r="AP670" i="2"/>
  <c r="AC672" i="2"/>
  <c r="T689" i="2"/>
  <c r="N655" i="2"/>
  <c r="N672" i="2"/>
  <c r="AP678" i="2"/>
  <c r="AF684" i="2"/>
  <c r="AQ684" i="2" s="1"/>
  <c r="W689" i="2"/>
  <c r="AQ708" i="2"/>
  <c r="N661" i="2"/>
  <c r="AQ663" i="2"/>
  <c r="AM683" i="2"/>
  <c r="AM705" i="2"/>
  <c r="AQ707" i="2"/>
  <c r="Z670" i="2"/>
  <c r="AM694" i="2"/>
  <c r="Z650" i="2"/>
  <c r="T655" i="2"/>
  <c r="AI670" i="2"/>
  <c r="AI686" i="2"/>
  <c r="AQ700" i="2"/>
  <c r="AF706" i="2"/>
  <c r="AQ706" i="2" s="1"/>
  <c r="AQ654" i="2"/>
  <c r="Q661" i="2"/>
  <c r="AP661" i="2"/>
  <c r="AQ685" i="2"/>
  <c r="Z689" i="2"/>
  <c r="AQ652" i="2"/>
  <c r="Z655" i="2"/>
  <c r="AM686" i="2"/>
  <c r="AC701" i="2"/>
  <c r="N670" i="2"/>
  <c r="AC678" i="2"/>
  <c r="AQ688" i="2"/>
  <c r="AE689" i="2"/>
  <c r="AC689" i="2"/>
  <c r="AI701" i="2"/>
  <c r="AF656" i="2"/>
  <c r="AQ656" i="2" s="1"/>
  <c r="N664" i="2"/>
  <c r="AI678" i="2"/>
  <c r="T683" i="2"/>
  <c r="N689" i="2"/>
  <c r="AI689" i="2"/>
  <c r="AF679" i="2"/>
  <c r="AQ679" i="2" s="1"/>
  <c r="W705" i="2"/>
  <c r="AQ658" i="2"/>
  <c r="Q664" i="2"/>
  <c r="AI672" i="2"/>
  <c r="T678" i="2"/>
  <c r="AM689" i="2"/>
  <c r="AQ692" i="2"/>
  <c r="N694" i="2"/>
  <c r="AI694" i="2"/>
  <c r="AQ704" i="2"/>
  <c r="AF665" i="2"/>
  <c r="AQ665" i="2" s="1"/>
  <c r="AF673" i="2"/>
  <c r="AQ673" i="2" s="1"/>
  <c r="Z686" i="2"/>
  <c r="AQ691" i="2"/>
  <c r="AE664" i="2"/>
  <c r="Q672" i="2"/>
  <c r="Q678" i="2"/>
  <c r="Q683" i="2"/>
  <c r="AD689" i="2"/>
  <c r="AD694" i="2"/>
  <c r="AD701" i="2"/>
  <c r="Q655" i="2"/>
  <c r="AP655" i="2"/>
  <c r="AC664" i="2"/>
  <c r="AF651" i="2"/>
  <c r="AQ651" i="2" s="1"/>
  <c r="AI661" i="2"/>
  <c r="AI664" i="2"/>
  <c r="W672" i="2"/>
  <c r="W678" i="2"/>
  <c r="AP683" i="2"/>
  <c r="AM650" i="2"/>
  <c r="AD672" i="2"/>
  <c r="AD678" i="2"/>
  <c r="Q689" i="2"/>
  <c r="Q694" i="2"/>
  <c r="Q701" i="2"/>
  <c r="Q705" i="2"/>
  <c r="N650" i="2"/>
  <c r="AE672" i="2"/>
  <c r="AE678" i="2"/>
  <c r="AF687" i="2"/>
  <c r="AQ687" i="2" s="1"/>
  <c r="AF690" i="2"/>
  <c r="AQ690" i="2" s="1"/>
  <c r="AF695" i="2"/>
  <c r="AQ695" i="2" s="1"/>
  <c r="AF702" i="2"/>
  <c r="AQ702" i="2" s="1"/>
  <c r="Q650" i="2"/>
  <c r="AI655" i="2"/>
  <c r="Q686" i="2"/>
  <c r="AD664" i="2"/>
  <c r="AP686" i="2"/>
  <c r="AP689" i="2"/>
  <c r="AP694" i="2"/>
  <c r="AP701" i="2"/>
  <c r="K650" i="2"/>
  <c r="AI650" i="2"/>
  <c r="K655" i="2"/>
  <c r="K661" i="2"/>
  <c r="K664" i="2"/>
  <c r="W664" i="2"/>
  <c r="K670" i="2"/>
  <c r="K672" i="2"/>
  <c r="K678" i="2"/>
  <c r="K683" i="2"/>
  <c r="K686" i="2"/>
  <c r="K689" i="2"/>
  <c r="K694" i="2"/>
  <c r="K701" i="2"/>
  <c r="K705" i="2"/>
  <c r="AP530" i="2"/>
  <c r="Z530" i="2"/>
  <c r="AF536" i="2"/>
  <c r="AQ536" i="2" s="1"/>
  <c r="Q530" i="2"/>
  <c r="AP535" i="2"/>
  <c r="AQ560" i="2"/>
  <c r="I539" i="2"/>
  <c r="N535" i="2"/>
  <c r="AG539" i="2"/>
  <c r="J33" i="3" s="1"/>
  <c r="AO539" i="2"/>
  <c r="Q33" i="3" s="1"/>
  <c r="AJ539" i="2"/>
  <c r="M33" i="3" s="1"/>
  <c r="J539" i="2"/>
  <c r="AN539" i="2"/>
  <c r="P33" i="3" s="1"/>
  <c r="T530" i="2"/>
  <c r="Z535" i="2"/>
  <c r="M539" i="2"/>
  <c r="L539" i="2"/>
  <c r="O539" i="2"/>
  <c r="P539" i="2"/>
  <c r="AH539" i="2"/>
  <c r="K33" i="3" s="1"/>
  <c r="AQ538" i="2"/>
  <c r="AK539" i="2"/>
  <c r="N33" i="3" s="1"/>
  <c r="R539" i="2"/>
  <c r="S539" i="2"/>
  <c r="T535" i="2"/>
  <c r="AQ534" i="2"/>
  <c r="AI535" i="2"/>
  <c r="T517" i="2"/>
  <c r="AP517" i="2"/>
  <c r="AQ537" i="2"/>
  <c r="AI530" i="2"/>
  <c r="AM530" i="2"/>
  <c r="AF531" i="2"/>
  <c r="AQ531" i="2" s="1"/>
  <c r="AQ533" i="2"/>
  <c r="AQ532" i="2"/>
  <c r="Q535" i="2"/>
  <c r="AM535" i="2"/>
  <c r="K535" i="2"/>
  <c r="N530" i="2"/>
  <c r="K530" i="2"/>
  <c r="Z565" i="2"/>
  <c r="AM527" i="2"/>
  <c r="AP524" i="2"/>
  <c r="AP558" i="2"/>
  <c r="AF528" i="2"/>
  <c r="AQ528" i="2" s="1"/>
  <c r="AC524" i="2"/>
  <c r="AC558" i="2"/>
  <c r="N548" i="2"/>
  <c r="Q548" i="2"/>
  <c r="AM565" i="2"/>
  <c r="K517" i="2"/>
  <c r="N527" i="2"/>
  <c r="AI527" i="2"/>
  <c r="Q565" i="2"/>
  <c r="AM524" i="2"/>
  <c r="AM548" i="2"/>
  <c r="AI524" i="2"/>
  <c r="AF567" i="2"/>
  <c r="AQ567" i="2" s="1"/>
  <c r="AF566" i="2"/>
  <c r="AQ566" i="2" s="1"/>
  <c r="N565" i="2"/>
  <c r="T552" i="2"/>
  <c r="Z527" i="2"/>
  <c r="AM552" i="2"/>
  <c r="AC548" i="2"/>
  <c r="K548" i="2"/>
  <c r="AC527" i="2"/>
  <c r="AQ520" i="2"/>
  <c r="Q558" i="2"/>
  <c r="K552" i="2"/>
  <c r="W548" i="2"/>
  <c r="Z524" i="2"/>
  <c r="AI517" i="2"/>
  <c r="Q527" i="2"/>
  <c r="AP548" i="2"/>
  <c r="T527" i="2"/>
  <c r="W517" i="2"/>
  <c r="Q524" i="2"/>
  <c r="W527" i="2"/>
  <c r="AF557" i="2"/>
  <c r="AQ557" i="2" s="1"/>
  <c r="AF556" i="2"/>
  <c r="AQ556" i="2" s="1"/>
  <c r="AF554" i="2"/>
  <c r="AQ554" i="2" s="1"/>
  <c r="AQ526" i="2"/>
  <c r="N552" i="2"/>
  <c r="Z548" i="2"/>
  <c r="T524" i="2"/>
  <c r="AD527" i="2"/>
  <c r="T565" i="2"/>
  <c r="AF559" i="2"/>
  <c r="AQ559" i="2" s="1"/>
  <c r="AM558" i="2"/>
  <c r="AE552" i="2"/>
  <c r="AC517" i="2"/>
  <c r="W524" i="2"/>
  <c r="AE527" i="2"/>
  <c r="AI558" i="2"/>
  <c r="Z552" i="2"/>
  <c r="Q517" i="2"/>
  <c r="AQ523" i="2"/>
  <c r="AQ522" i="2"/>
  <c r="AD524" i="2"/>
  <c r="AI565" i="2"/>
  <c r="K558" i="2"/>
  <c r="W552" i="2"/>
  <c r="AQ521" i="2"/>
  <c r="AF551" i="2"/>
  <c r="AQ551" i="2" s="1"/>
  <c r="AF550" i="2"/>
  <c r="AQ550" i="2" s="1"/>
  <c r="AF549" i="2"/>
  <c r="AQ549" i="2" s="1"/>
  <c r="AQ519" i="2"/>
  <c r="K565" i="2"/>
  <c r="Z558" i="2"/>
  <c r="AI548" i="2"/>
  <c r="N524" i="2"/>
  <c r="AF525" i="2"/>
  <c r="AQ525" i="2" s="1"/>
  <c r="AP527" i="2"/>
  <c r="AQ529" i="2"/>
  <c r="K527" i="2"/>
  <c r="K524" i="2"/>
  <c r="AE524" i="2"/>
  <c r="AE558" i="2"/>
  <c r="Z517" i="2"/>
  <c r="AD517" i="2"/>
  <c r="AC552" i="2"/>
  <c r="AE548" i="2"/>
  <c r="T548" i="2"/>
  <c r="W565" i="2"/>
  <c r="W558" i="2"/>
  <c r="AD548" i="2"/>
  <c r="AP565" i="2"/>
  <c r="AF561" i="2"/>
  <c r="AQ561" i="2" s="1"/>
  <c r="T558" i="2"/>
  <c r="AP552" i="2"/>
  <c r="AM517" i="2"/>
  <c r="AF518" i="2"/>
  <c r="AQ518" i="2" s="1"/>
  <c r="AF555" i="2"/>
  <c r="AQ555" i="2" s="1"/>
  <c r="AF553" i="2"/>
  <c r="AQ553" i="2" s="1"/>
  <c r="AC565" i="2"/>
  <c r="N558" i="2"/>
  <c r="AI552" i="2"/>
  <c r="Q552" i="2"/>
  <c r="AE517" i="2"/>
  <c r="AE565" i="2"/>
  <c r="AD565" i="2"/>
  <c r="AD552" i="2"/>
  <c r="AD558" i="2"/>
  <c r="N517" i="2"/>
  <c r="Z512" i="2"/>
  <c r="N512" i="2"/>
  <c r="Q512" i="2"/>
  <c r="AM512" i="2"/>
  <c r="AF513" i="2"/>
  <c r="AQ513" i="2" s="1"/>
  <c r="AQ515" i="2"/>
  <c r="AP512" i="2"/>
  <c r="AQ514" i="2"/>
  <c r="AI512" i="2"/>
  <c r="T512" i="2"/>
  <c r="AQ516" i="2"/>
  <c r="K512" i="2"/>
  <c r="AP507" i="2"/>
  <c r="AP504" i="2"/>
  <c r="AI507" i="2"/>
  <c r="AM497" i="2"/>
  <c r="N507" i="2"/>
  <c r="Q504" i="2"/>
  <c r="AQ510" i="2"/>
  <c r="AP501" i="2"/>
  <c r="AM504" i="2"/>
  <c r="AQ509" i="2"/>
  <c r="T494" i="2"/>
  <c r="AP494" i="2"/>
  <c r="AF498" i="2"/>
  <c r="AQ498" i="2" s="1"/>
  <c r="T507" i="2"/>
  <c r="AC501" i="2"/>
  <c r="AF508" i="2"/>
  <c r="AQ508" i="2" s="1"/>
  <c r="K494" i="2"/>
  <c r="Z494" i="2"/>
  <c r="N497" i="2"/>
  <c r="T504" i="2"/>
  <c r="Z507" i="2"/>
  <c r="AI494" i="2"/>
  <c r="AM494" i="2"/>
  <c r="AC504" i="2"/>
  <c r="Q507" i="2"/>
  <c r="AM507" i="2"/>
  <c r="AQ511" i="2"/>
  <c r="K507" i="2"/>
  <c r="AF495" i="2"/>
  <c r="AQ495" i="2" s="1"/>
  <c r="Q501" i="2"/>
  <c r="AF502" i="2"/>
  <c r="AQ502" i="2" s="1"/>
  <c r="AI497" i="2"/>
  <c r="Z497" i="2"/>
  <c r="Z504" i="2"/>
  <c r="AQ503" i="2"/>
  <c r="K497" i="2"/>
  <c r="AQ500" i="2"/>
  <c r="Z501" i="2"/>
  <c r="N504" i="2"/>
  <c r="AI504" i="2"/>
  <c r="AP497" i="2"/>
  <c r="AC494" i="2"/>
  <c r="N494" i="2"/>
  <c r="T497" i="2"/>
  <c r="N501" i="2"/>
  <c r="AI501" i="2"/>
  <c r="Q494" i="2"/>
  <c r="AQ499" i="2"/>
  <c r="AD504" i="2"/>
  <c r="AD501" i="2"/>
  <c r="AE501" i="2"/>
  <c r="W494" i="2"/>
  <c r="AQ496" i="2"/>
  <c r="AD494" i="2"/>
  <c r="AF505" i="2"/>
  <c r="AQ505" i="2" s="1"/>
  <c r="AE504" i="2"/>
  <c r="Q497" i="2"/>
  <c r="T501" i="2"/>
  <c r="AM501" i="2"/>
  <c r="W504" i="2"/>
  <c r="AQ506" i="2"/>
  <c r="K504" i="2"/>
  <c r="K501" i="2"/>
  <c r="W501" i="2"/>
  <c r="AE494" i="2"/>
  <c r="N490" i="2"/>
  <c r="Z482" i="2"/>
  <c r="N486" i="2"/>
  <c r="AQ492" i="2"/>
  <c r="AM482" i="2"/>
  <c r="AQ484" i="2"/>
  <c r="AQ493" i="2"/>
  <c r="Z486" i="2"/>
  <c r="AF491" i="2"/>
  <c r="AQ491" i="2" s="1"/>
  <c r="Q482" i="2"/>
  <c r="Q486" i="2"/>
  <c r="AP490" i="2"/>
  <c r="T486" i="2"/>
  <c r="Q490" i="2"/>
  <c r="AI482" i="2"/>
  <c r="AF483" i="2"/>
  <c r="AQ483" i="2" s="1"/>
  <c r="AF487" i="2"/>
  <c r="AQ487" i="2" s="1"/>
  <c r="AQ485" i="2"/>
  <c r="AM486" i="2"/>
  <c r="AM490" i="2"/>
  <c r="AP482" i="2"/>
  <c r="AP486" i="2"/>
  <c r="AQ489" i="2"/>
  <c r="AQ488" i="2"/>
  <c r="AI490" i="2"/>
  <c r="Z490" i="2"/>
  <c r="T482" i="2"/>
  <c r="AI486" i="2"/>
  <c r="T490" i="2"/>
  <c r="K490" i="2"/>
  <c r="K486" i="2"/>
  <c r="N482" i="2"/>
  <c r="K482" i="2"/>
  <c r="AA468" i="2"/>
  <c r="AC468" i="2" s="1"/>
  <c r="AF469" i="2"/>
  <c r="AQ469" i="2" s="1"/>
  <c r="Z468" i="2"/>
  <c r="AC473" i="2"/>
  <c r="Q468" i="2"/>
  <c r="AP468" i="2"/>
  <c r="AM473" i="2"/>
  <c r="K468" i="2"/>
  <c r="AI468" i="2"/>
  <c r="AM468" i="2"/>
  <c r="AP473" i="2"/>
  <c r="T468" i="2"/>
  <c r="AI473" i="2"/>
  <c r="AF474" i="2"/>
  <c r="AQ474" i="2" s="1"/>
  <c r="Q473" i="2"/>
  <c r="AQ476" i="2"/>
  <c r="AQ475" i="2"/>
  <c r="T459" i="2"/>
  <c r="AP459" i="2"/>
  <c r="Z473" i="2"/>
  <c r="AQ470" i="2"/>
  <c r="Z465" i="2"/>
  <c r="AQ472" i="2"/>
  <c r="W473" i="2"/>
  <c r="AQ471" i="2"/>
  <c r="AE473" i="2"/>
  <c r="AD473" i="2"/>
  <c r="V468" i="2"/>
  <c r="W468" i="2" s="1"/>
  <c r="AQ478" i="2"/>
  <c r="N468" i="2"/>
  <c r="T473" i="2"/>
  <c r="AQ477" i="2"/>
  <c r="N473" i="2"/>
  <c r="K473" i="2"/>
  <c r="AF466" i="2"/>
  <c r="AQ466" i="2" s="1"/>
  <c r="AC453" i="2"/>
  <c r="T465" i="2"/>
  <c r="AF463" i="2"/>
  <c r="AQ463" i="2" s="1"/>
  <c r="N465" i="2"/>
  <c r="AI465" i="2"/>
  <c r="Z462" i="2"/>
  <c r="AM465" i="2"/>
  <c r="AD465" i="2"/>
  <c r="AE465" i="2"/>
  <c r="AC465" i="2"/>
  <c r="Q465" i="2"/>
  <c r="Q459" i="2"/>
  <c r="W465" i="2"/>
  <c r="AP465" i="2"/>
  <c r="AQ467" i="2"/>
  <c r="K465" i="2"/>
  <c r="AI459" i="2"/>
  <c r="N462" i="2"/>
  <c r="AC459" i="2"/>
  <c r="W462" i="2"/>
  <c r="AC462" i="2"/>
  <c r="AM462" i="2"/>
  <c r="AM459" i="2"/>
  <c r="AF460" i="2"/>
  <c r="AQ460" i="2" s="1"/>
  <c r="AD462" i="2"/>
  <c r="AE462" i="2"/>
  <c r="AQ461" i="2"/>
  <c r="Z453" i="2"/>
  <c r="Q462" i="2"/>
  <c r="AI462" i="2"/>
  <c r="AD459" i="2"/>
  <c r="T462" i="2"/>
  <c r="AP462" i="2"/>
  <c r="AQ464" i="2"/>
  <c r="K462" i="2"/>
  <c r="K459" i="2"/>
  <c r="W459" i="2"/>
  <c r="N459" i="2"/>
  <c r="Z459" i="2"/>
  <c r="AE459" i="2"/>
  <c r="AQ457" i="2"/>
  <c r="T453" i="2"/>
  <c r="AP453" i="2"/>
  <c r="AI443" i="2"/>
  <c r="Q453" i="2"/>
  <c r="AQ456" i="2"/>
  <c r="W453" i="2"/>
  <c r="AQ455" i="2"/>
  <c r="AD453" i="2"/>
  <c r="AE453" i="2"/>
  <c r="N451" i="2"/>
  <c r="N453" i="2"/>
  <c r="AI453" i="2"/>
  <c r="AM453" i="2"/>
  <c r="AF454" i="2"/>
  <c r="AQ454" i="2" s="1"/>
  <c r="AQ458" i="2"/>
  <c r="K453" i="2"/>
  <c r="AF444" i="2"/>
  <c r="AQ444" i="2" s="1"/>
  <c r="AM443" i="2"/>
  <c r="AF449" i="2"/>
  <c r="AQ449" i="2" s="1"/>
  <c r="W451" i="2"/>
  <c r="Q448" i="2"/>
  <c r="AP443" i="2"/>
  <c r="Q443" i="2"/>
  <c r="Q451" i="2"/>
  <c r="AM451" i="2"/>
  <c r="AC448" i="2"/>
  <c r="T443" i="2"/>
  <c r="T448" i="2"/>
  <c r="AP448" i="2"/>
  <c r="Z448" i="2"/>
  <c r="AM448" i="2"/>
  <c r="W448" i="2"/>
  <c r="AQ450" i="2"/>
  <c r="AD448" i="2"/>
  <c r="Z451" i="2"/>
  <c r="AE448" i="2"/>
  <c r="N448" i="2"/>
  <c r="AF452" i="2"/>
  <c r="AQ452" i="2" s="1"/>
  <c r="AI448" i="2"/>
  <c r="T451" i="2"/>
  <c r="AD451" i="2"/>
  <c r="AE451" i="2"/>
  <c r="AC451" i="2"/>
  <c r="K448" i="2"/>
  <c r="Z443" i="2"/>
  <c r="AI451" i="2"/>
  <c r="AQ447" i="2"/>
  <c r="AQ446" i="2"/>
  <c r="AQ445" i="2"/>
  <c r="AP451" i="2"/>
  <c r="N443" i="2"/>
  <c r="K451" i="2"/>
  <c r="AE443" i="2"/>
  <c r="AD443" i="2"/>
  <c r="K443" i="2"/>
  <c r="W443" i="2"/>
  <c r="AC443" i="2"/>
  <c r="AC436" i="2"/>
  <c r="Z436" i="2"/>
  <c r="AM439" i="2"/>
  <c r="Q436" i="2"/>
  <c r="AM436" i="2"/>
  <c r="T439" i="2"/>
  <c r="AQ438" i="2"/>
  <c r="AF437" i="2"/>
  <c r="AQ437" i="2" s="1"/>
  <c r="AF440" i="2"/>
  <c r="AQ440" i="2" s="1"/>
  <c r="AI436" i="2"/>
  <c r="AQ442" i="2"/>
  <c r="AP439" i="2"/>
  <c r="Q439" i="2"/>
  <c r="T436" i="2"/>
  <c r="AP436" i="2"/>
  <c r="Z439" i="2"/>
  <c r="AI439" i="2"/>
  <c r="AM428" i="2"/>
  <c r="N436" i="2"/>
  <c r="AQ441" i="2"/>
  <c r="K439" i="2"/>
  <c r="N439" i="2"/>
  <c r="AE436" i="2"/>
  <c r="W436" i="2"/>
  <c r="AD436" i="2"/>
  <c r="K436" i="2"/>
  <c r="AP428" i="2"/>
  <c r="AF429" i="2"/>
  <c r="AQ429" i="2" s="1"/>
  <c r="AC428" i="2"/>
  <c r="AQ435" i="2"/>
  <c r="Z428" i="2"/>
  <c r="AQ434" i="2"/>
  <c r="AQ432" i="2"/>
  <c r="Q428" i="2"/>
  <c r="W428" i="2"/>
  <c r="AQ431" i="2"/>
  <c r="AQ430" i="2"/>
  <c r="K428" i="2"/>
  <c r="AQ433" i="2"/>
  <c r="N428" i="2"/>
  <c r="AI428" i="2"/>
  <c r="AD428" i="2"/>
  <c r="AE428" i="2"/>
  <c r="T428" i="2"/>
  <c r="R32" i="3" l="1"/>
  <c r="AN764" i="2"/>
  <c r="P48" i="3"/>
  <c r="AG764" i="2"/>
  <c r="J48" i="3"/>
  <c r="AO764" i="2"/>
  <c r="Q48" i="3"/>
  <c r="Q51" i="3" s="1"/>
  <c r="O32" i="3"/>
  <c r="AK764" i="2"/>
  <c r="N48" i="3"/>
  <c r="N51" i="3" s="1"/>
  <c r="L32" i="3"/>
  <c r="S41" i="3"/>
  <c r="K479" i="2"/>
  <c r="AJ764" i="2"/>
  <c r="M48" i="3"/>
  <c r="AH764" i="2"/>
  <c r="K48" i="3"/>
  <c r="K51" i="3" s="1"/>
  <c r="AA479" i="2"/>
  <c r="Q479" i="2"/>
  <c r="T479" i="2"/>
  <c r="V479" i="2"/>
  <c r="AM479" i="2"/>
  <c r="Z479" i="2"/>
  <c r="AI479" i="2"/>
  <c r="N479" i="2"/>
  <c r="AP479" i="2"/>
  <c r="AQ620" i="2"/>
  <c r="W562" i="2"/>
  <c r="AE562" i="2"/>
  <c r="H39" i="3" s="1"/>
  <c r="AI562" i="2"/>
  <c r="AC562" i="2"/>
  <c r="T562" i="2"/>
  <c r="AP562" i="2"/>
  <c r="Q562" i="2"/>
  <c r="Z562" i="2"/>
  <c r="N562" i="2"/>
  <c r="AM562" i="2"/>
  <c r="AD562" i="2"/>
  <c r="G39" i="3" s="1"/>
  <c r="K562" i="2"/>
  <c r="AM709" i="2"/>
  <c r="AM764" i="2" s="1"/>
  <c r="AI709" i="2"/>
  <c r="AI764" i="2" s="1"/>
  <c r="K709" i="2"/>
  <c r="K764" i="2" s="1"/>
  <c r="AP709" i="2"/>
  <c r="AP764" i="2" s="1"/>
  <c r="N709" i="2"/>
  <c r="N764" i="2" s="1"/>
  <c r="T709" i="2"/>
  <c r="T764" i="2" s="1"/>
  <c r="Q709" i="2"/>
  <c r="Q764" i="2" s="1"/>
  <c r="Z709" i="2"/>
  <c r="Z764" i="2" s="1"/>
  <c r="AF694" i="2"/>
  <c r="AQ694" i="2" s="1"/>
  <c r="AF689" i="2"/>
  <c r="AQ689" i="2" s="1"/>
  <c r="AF701" i="2"/>
  <c r="AQ701" i="2" s="1"/>
  <c r="AF664" i="2"/>
  <c r="AQ664" i="2" s="1"/>
  <c r="AF678" i="2"/>
  <c r="AQ678" i="2" s="1"/>
  <c r="AF672" i="2"/>
  <c r="AQ672" i="2" s="1"/>
  <c r="T539" i="2"/>
  <c r="Z539" i="2"/>
  <c r="Q539" i="2"/>
  <c r="AI539" i="2"/>
  <c r="K539" i="2"/>
  <c r="AP539" i="2"/>
  <c r="N539" i="2"/>
  <c r="AM539" i="2"/>
  <c r="AF552" i="2"/>
  <c r="AQ552" i="2" s="1"/>
  <c r="AF565" i="2"/>
  <c r="AQ565" i="2" s="1"/>
  <c r="AF524" i="2"/>
  <c r="AQ524" i="2" s="1"/>
  <c r="AF548" i="2"/>
  <c r="AF558" i="2"/>
  <c r="AQ558" i="2" s="1"/>
  <c r="AF527" i="2"/>
  <c r="AQ527" i="2" s="1"/>
  <c r="AF517" i="2"/>
  <c r="AQ517" i="2" s="1"/>
  <c r="AF501" i="2"/>
  <c r="AQ501" i="2" s="1"/>
  <c r="AF494" i="2"/>
  <c r="AQ494" i="2" s="1"/>
  <c r="AF504" i="2"/>
  <c r="AQ504" i="2" s="1"/>
  <c r="AD468" i="2"/>
  <c r="AF473" i="2"/>
  <c r="AE468" i="2"/>
  <c r="AF465" i="2"/>
  <c r="AQ465" i="2" s="1"/>
  <c r="AF462" i="2"/>
  <c r="AQ462" i="2" s="1"/>
  <c r="AF459" i="2"/>
  <c r="AQ459" i="2" s="1"/>
  <c r="AF453" i="2"/>
  <c r="AQ453" i="2" s="1"/>
  <c r="AF448" i="2"/>
  <c r="AQ448" i="2" s="1"/>
  <c r="AF443" i="2"/>
  <c r="AQ443" i="2" s="1"/>
  <c r="AF451" i="2"/>
  <c r="AQ451" i="2" s="1"/>
  <c r="AF436" i="2"/>
  <c r="AQ436" i="2" s="1"/>
  <c r="AF428" i="2"/>
  <c r="AQ428" i="2" s="1"/>
  <c r="D14" i="18" l="1"/>
  <c r="E14" i="18"/>
  <c r="O48" i="3"/>
  <c r="O51" i="3" s="1"/>
  <c r="M51" i="3"/>
  <c r="L48" i="3"/>
  <c r="J51" i="3"/>
  <c r="D13" i="18" s="1"/>
  <c r="U48" i="3"/>
  <c r="U51" i="3" s="1"/>
  <c r="R48" i="3"/>
  <c r="R51" i="3" s="1"/>
  <c r="P51" i="3"/>
  <c r="AQ548" i="2"/>
  <c r="AQ562" i="2" s="1"/>
  <c r="AF562" i="2"/>
  <c r="AF468" i="2"/>
  <c r="AQ468" i="2" s="1"/>
  <c r="AQ473" i="2"/>
  <c r="E13" i="18" l="1"/>
  <c r="L51" i="3"/>
  <c r="AP424" i="2"/>
  <c r="AM424" i="2"/>
  <c r="AI424" i="2"/>
  <c r="AF424" i="2"/>
  <c r="AC424" i="2"/>
  <c r="Z424" i="2"/>
  <c r="W424" i="2"/>
  <c r="T424" i="2"/>
  <c r="Q424" i="2"/>
  <c r="N424" i="2"/>
  <c r="K424" i="2"/>
  <c r="AP423" i="2"/>
  <c r="AM423" i="2"/>
  <c r="AI423" i="2"/>
  <c r="AF423" i="2"/>
  <c r="AC423" i="2"/>
  <c r="Z423" i="2"/>
  <c r="W423" i="2"/>
  <c r="T423" i="2"/>
  <c r="Q423" i="2"/>
  <c r="N423" i="2"/>
  <c r="K423" i="2"/>
  <c r="AP422" i="2"/>
  <c r="AM422" i="2"/>
  <c r="AI422" i="2"/>
  <c r="AC422" i="2"/>
  <c r="Z422" i="2"/>
  <c r="W422" i="2"/>
  <c r="T422" i="2"/>
  <c r="Q422" i="2"/>
  <c r="N422" i="2"/>
  <c r="K422" i="2"/>
  <c r="AP420" i="2"/>
  <c r="AM420" i="2"/>
  <c r="AE420" i="2"/>
  <c r="AD420" i="2"/>
  <c r="AC420" i="2"/>
  <c r="Z420" i="2"/>
  <c r="W420" i="2"/>
  <c r="T420" i="2"/>
  <c r="Q420" i="2"/>
  <c r="N420" i="2"/>
  <c r="K420" i="2"/>
  <c r="AO413" i="2"/>
  <c r="AN413" i="2"/>
  <c r="AK413" i="2"/>
  <c r="AJ413" i="2"/>
  <c r="AH413" i="2"/>
  <c r="AG413" i="2"/>
  <c r="AB413" i="2"/>
  <c r="AA413" i="2"/>
  <c r="Y413" i="2"/>
  <c r="X413" i="2"/>
  <c r="V413" i="2"/>
  <c r="U413" i="2"/>
  <c r="S413" i="2"/>
  <c r="R413" i="2"/>
  <c r="P413" i="2"/>
  <c r="O413" i="2"/>
  <c r="M413" i="2"/>
  <c r="L413" i="2"/>
  <c r="J413" i="2"/>
  <c r="I413" i="2"/>
  <c r="W415" i="2"/>
  <c r="W416" i="2"/>
  <c r="W417" i="2"/>
  <c r="W418" i="2"/>
  <c r="T415" i="2"/>
  <c r="T416" i="2"/>
  <c r="T417" i="2"/>
  <c r="T418" i="2"/>
  <c r="T404" i="2"/>
  <c r="T405" i="2"/>
  <c r="T406" i="2"/>
  <c r="T407" i="2"/>
  <c r="T408" i="2"/>
  <c r="T409" i="2"/>
  <c r="T410" i="2"/>
  <c r="T411" i="2"/>
  <c r="T412" i="2"/>
  <c r="W404" i="2"/>
  <c r="W405" i="2"/>
  <c r="W406" i="2"/>
  <c r="W407" i="2"/>
  <c r="W408" i="2"/>
  <c r="W409" i="2"/>
  <c r="W410" i="2"/>
  <c r="W411" i="2"/>
  <c r="W412" i="2"/>
  <c r="AP418" i="2"/>
  <c r="AM418" i="2"/>
  <c r="AI418" i="2"/>
  <c r="AF418" i="2"/>
  <c r="AC418" i="2"/>
  <c r="Z418" i="2"/>
  <c r="Q418" i="2"/>
  <c r="N418" i="2"/>
  <c r="K418" i="2"/>
  <c r="AP417" i="2"/>
  <c r="AM417" i="2"/>
  <c r="AI417" i="2"/>
  <c r="AF417" i="2"/>
  <c r="AC417" i="2"/>
  <c r="Z417" i="2"/>
  <c r="Q417" i="2"/>
  <c r="N417" i="2"/>
  <c r="K417" i="2"/>
  <c r="AP416" i="2"/>
  <c r="AM416" i="2"/>
  <c r="AI416" i="2"/>
  <c r="AF416" i="2"/>
  <c r="AC416" i="2"/>
  <c r="Z416" i="2"/>
  <c r="Q416" i="2"/>
  <c r="N416" i="2"/>
  <c r="K416" i="2"/>
  <c r="AP415" i="2"/>
  <c r="AM415" i="2"/>
  <c r="AI415" i="2"/>
  <c r="AF415" i="2"/>
  <c r="AC415" i="2"/>
  <c r="Z415" i="2"/>
  <c r="Q415" i="2"/>
  <c r="N415" i="2"/>
  <c r="K415" i="2"/>
  <c r="AP414" i="2"/>
  <c r="AM414" i="2"/>
  <c r="AI414" i="2"/>
  <c r="AE414" i="2"/>
  <c r="AD414" i="2"/>
  <c r="AC414" i="2"/>
  <c r="Z414" i="2"/>
  <c r="W414" i="2"/>
  <c r="T414" i="2"/>
  <c r="Q414" i="2"/>
  <c r="N414" i="2"/>
  <c r="K414" i="2"/>
  <c r="AO402" i="2"/>
  <c r="AN402" i="2"/>
  <c r="AK402" i="2"/>
  <c r="AJ402" i="2"/>
  <c r="AH402" i="2"/>
  <c r="AG402" i="2"/>
  <c r="AB402" i="2"/>
  <c r="AA402" i="2"/>
  <c r="Y402" i="2"/>
  <c r="X402" i="2"/>
  <c r="V402" i="2"/>
  <c r="U402" i="2"/>
  <c r="S402" i="2"/>
  <c r="R402" i="2"/>
  <c r="P402" i="2"/>
  <c r="O402" i="2"/>
  <c r="M402" i="2"/>
  <c r="L402" i="2"/>
  <c r="J402" i="2"/>
  <c r="I402" i="2"/>
  <c r="AP412" i="2"/>
  <c r="AM412" i="2"/>
  <c r="AI412" i="2"/>
  <c r="AF412" i="2"/>
  <c r="AC412" i="2"/>
  <c r="Z412" i="2"/>
  <c r="Q412" i="2"/>
  <c r="N412" i="2"/>
  <c r="K412" i="2"/>
  <c r="AP411" i="2"/>
  <c r="AM411" i="2"/>
  <c r="AI411" i="2"/>
  <c r="AF411" i="2"/>
  <c r="AC411" i="2"/>
  <c r="Z411" i="2"/>
  <c r="Q411" i="2"/>
  <c r="N411" i="2"/>
  <c r="K411" i="2"/>
  <c r="AP410" i="2"/>
  <c r="AM410" i="2"/>
  <c r="AI410" i="2"/>
  <c r="AF410" i="2"/>
  <c r="AC410" i="2"/>
  <c r="Z410" i="2"/>
  <c r="Q410" i="2"/>
  <c r="N410" i="2"/>
  <c r="K410" i="2"/>
  <c r="AP409" i="2"/>
  <c r="AM409" i="2"/>
  <c r="AI409" i="2"/>
  <c r="AF409" i="2"/>
  <c r="AC409" i="2"/>
  <c r="Z409" i="2"/>
  <c r="Q409" i="2"/>
  <c r="N409" i="2"/>
  <c r="K409" i="2"/>
  <c r="AP408" i="2"/>
  <c r="AM408" i="2"/>
  <c r="AI408" i="2"/>
  <c r="AF408" i="2"/>
  <c r="AC408" i="2"/>
  <c r="Z408" i="2"/>
  <c r="Q408" i="2"/>
  <c r="N408" i="2"/>
  <c r="K408" i="2"/>
  <c r="AP407" i="2"/>
  <c r="AM407" i="2"/>
  <c r="AI407" i="2"/>
  <c r="AF407" i="2"/>
  <c r="AC407" i="2"/>
  <c r="Z407" i="2"/>
  <c r="Q407" i="2"/>
  <c r="N407" i="2"/>
  <c r="K407" i="2"/>
  <c r="AP406" i="2"/>
  <c r="AM406" i="2"/>
  <c r="AI406" i="2"/>
  <c r="AF406" i="2"/>
  <c r="AC406" i="2"/>
  <c r="Z406" i="2"/>
  <c r="Q406" i="2"/>
  <c r="N406" i="2"/>
  <c r="K406" i="2"/>
  <c r="AP405" i="2"/>
  <c r="AM405" i="2"/>
  <c r="AI405" i="2"/>
  <c r="AF405" i="2"/>
  <c r="AC405" i="2"/>
  <c r="Z405" i="2"/>
  <c r="Q405" i="2"/>
  <c r="N405" i="2"/>
  <c r="K405" i="2"/>
  <c r="AP404" i="2"/>
  <c r="AM404" i="2"/>
  <c r="AI404" i="2"/>
  <c r="AF404" i="2"/>
  <c r="AC404" i="2"/>
  <c r="Z404" i="2"/>
  <c r="Q404" i="2"/>
  <c r="N404" i="2"/>
  <c r="K404" i="2"/>
  <c r="AP403" i="2"/>
  <c r="AM403" i="2"/>
  <c r="AI403" i="2"/>
  <c r="AE403" i="2"/>
  <c r="AD403" i="2"/>
  <c r="AC403" i="2"/>
  <c r="Z403" i="2"/>
  <c r="W403" i="2"/>
  <c r="T403" i="2"/>
  <c r="Q403" i="2"/>
  <c r="N403" i="2"/>
  <c r="K403" i="2"/>
  <c r="K396" i="2"/>
  <c r="K397" i="2"/>
  <c r="N396" i="2"/>
  <c r="N397" i="2"/>
  <c r="Q396" i="2"/>
  <c r="Q397" i="2"/>
  <c r="T396" i="2"/>
  <c r="T397" i="2"/>
  <c r="T395" i="2"/>
  <c r="AF396" i="2"/>
  <c r="AF397" i="2"/>
  <c r="AI396" i="2"/>
  <c r="AI397" i="2"/>
  <c r="AM396" i="2"/>
  <c r="AM397" i="2"/>
  <c r="AP396" i="2"/>
  <c r="AP397" i="2"/>
  <c r="AP398" i="2"/>
  <c r="AO394" i="2"/>
  <c r="AN394" i="2"/>
  <c r="AK394" i="2"/>
  <c r="AJ394" i="2"/>
  <c r="AH394" i="2"/>
  <c r="AG394" i="2"/>
  <c r="AB394" i="2"/>
  <c r="AA394" i="2"/>
  <c r="Y394" i="2"/>
  <c r="X394" i="2"/>
  <c r="V394" i="2"/>
  <c r="U394" i="2"/>
  <c r="S394" i="2"/>
  <c r="R394" i="2"/>
  <c r="P394" i="2"/>
  <c r="O394" i="2"/>
  <c r="M394" i="2"/>
  <c r="L394" i="2"/>
  <c r="J394" i="2"/>
  <c r="I394" i="2"/>
  <c r="K387" i="2"/>
  <c r="K388" i="2"/>
  <c r="K389" i="2"/>
  <c r="K390" i="2"/>
  <c r="K391" i="2"/>
  <c r="N387" i="2"/>
  <c r="N388" i="2"/>
  <c r="N389" i="2"/>
  <c r="N390" i="2"/>
  <c r="N391" i="2"/>
  <c r="Q387" i="2"/>
  <c r="Q388" i="2"/>
  <c r="Q389" i="2"/>
  <c r="Q390" i="2"/>
  <c r="Q391" i="2"/>
  <c r="T387" i="2"/>
  <c r="T388" i="2"/>
  <c r="T389" i="2"/>
  <c r="T390" i="2"/>
  <c r="T391" i="2"/>
  <c r="W387" i="2"/>
  <c r="W388" i="2"/>
  <c r="W389" i="2"/>
  <c r="W390" i="2"/>
  <c r="W391" i="2"/>
  <c r="Z387" i="2"/>
  <c r="Z388" i="2"/>
  <c r="Z389" i="2"/>
  <c r="Z390" i="2"/>
  <c r="Z391" i="2"/>
  <c r="AC387" i="2"/>
  <c r="AC388" i="2"/>
  <c r="AC389" i="2"/>
  <c r="AC390" i="2"/>
  <c r="AC391" i="2"/>
  <c r="AF387" i="2"/>
  <c r="AF388" i="2"/>
  <c r="AF389" i="2"/>
  <c r="AF390" i="2"/>
  <c r="AF391" i="2"/>
  <c r="AI387" i="2"/>
  <c r="AI388" i="2"/>
  <c r="AI389" i="2"/>
  <c r="AI390" i="2"/>
  <c r="AI391" i="2"/>
  <c r="AM387" i="2"/>
  <c r="AM388" i="2"/>
  <c r="AM389" i="2"/>
  <c r="AM390" i="2"/>
  <c r="AM391" i="2"/>
  <c r="AP387" i="2"/>
  <c r="AP388" i="2"/>
  <c r="AP389" i="2"/>
  <c r="AP390" i="2"/>
  <c r="AP391" i="2"/>
  <c r="AO385" i="2"/>
  <c r="AN385" i="2"/>
  <c r="AK385" i="2"/>
  <c r="AJ385" i="2"/>
  <c r="AH385" i="2"/>
  <c r="AG385" i="2"/>
  <c r="AB385" i="2"/>
  <c r="AA385" i="2"/>
  <c r="Y385" i="2"/>
  <c r="X385" i="2"/>
  <c r="V385" i="2"/>
  <c r="U385" i="2"/>
  <c r="S385" i="2"/>
  <c r="R385" i="2"/>
  <c r="P385" i="2"/>
  <c r="O385" i="2"/>
  <c r="M385" i="2"/>
  <c r="L385" i="2"/>
  <c r="J385" i="2"/>
  <c r="I385" i="2"/>
  <c r="AP375" i="2"/>
  <c r="AP376" i="2"/>
  <c r="AP377" i="2"/>
  <c r="AP378" i="2"/>
  <c r="AP379" i="2"/>
  <c r="AP380" i="2"/>
  <c r="AP381" i="2"/>
  <c r="AP382" i="2"/>
  <c r="AP383" i="2"/>
  <c r="AM375" i="2"/>
  <c r="AM376" i="2"/>
  <c r="AM377" i="2"/>
  <c r="AM378" i="2"/>
  <c r="AM379" i="2"/>
  <c r="AM380" i="2"/>
  <c r="AM381" i="2"/>
  <c r="AM382" i="2"/>
  <c r="AM383" i="2"/>
  <c r="AI375" i="2"/>
  <c r="AI376" i="2"/>
  <c r="AI377" i="2"/>
  <c r="AI378" i="2"/>
  <c r="AI379" i="2"/>
  <c r="AI380" i="2"/>
  <c r="AI381" i="2"/>
  <c r="AI382" i="2"/>
  <c r="AI383" i="2"/>
  <c r="AF375" i="2"/>
  <c r="AF376" i="2"/>
  <c r="AF377" i="2"/>
  <c r="AF378" i="2"/>
  <c r="AF379" i="2"/>
  <c r="AF380" i="2"/>
  <c r="AF381" i="2"/>
  <c r="AF382" i="2"/>
  <c r="AF383" i="2"/>
  <c r="AC375" i="2"/>
  <c r="AC376" i="2"/>
  <c r="AC377" i="2"/>
  <c r="AC378" i="2"/>
  <c r="AC379" i="2"/>
  <c r="AC380" i="2"/>
  <c r="AC381" i="2"/>
  <c r="AC382" i="2"/>
  <c r="AC383" i="2"/>
  <c r="Z375" i="2"/>
  <c r="Z376" i="2"/>
  <c r="Z377" i="2"/>
  <c r="Z378" i="2"/>
  <c r="Z379" i="2"/>
  <c r="Z380" i="2"/>
  <c r="Z381" i="2"/>
  <c r="Z382" i="2"/>
  <c r="Z383" i="2"/>
  <c r="Q375" i="2"/>
  <c r="Q376" i="2"/>
  <c r="Q377" i="2"/>
  <c r="Q378" i="2"/>
  <c r="Q379" i="2"/>
  <c r="Q380" i="2"/>
  <c r="Q381" i="2"/>
  <c r="Q382" i="2"/>
  <c r="Q383" i="2"/>
  <c r="N375" i="2"/>
  <c r="N376" i="2"/>
  <c r="N377" i="2"/>
  <c r="N378" i="2"/>
  <c r="N379" i="2"/>
  <c r="N380" i="2"/>
  <c r="N381" i="2"/>
  <c r="N382" i="2"/>
  <c r="N383" i="2"/>
  <c r="K375" i="2"/>
  <c r="K376" i="2"/>
  <c r="K377" i="2"/>
  <c r="K378" i="2"/>
  <c r="K379" i="2"/>
  <c r="K380" i="2"/>
  <c r="K381" i="2"/>
  <c r="K382" i="2"/>
  <c r="K383" i="2"/>
  <c r="AP371" i="2"/>
  <c r="AM371" i="2"/>
  <c r="AI371" i="2"/>
  <c r="AF371" i="2"/>
  <c r="AC371" i="2"/>
  <c r="Z371" i="2"/>
  <c r="W371" i="2"/>
  <c r="T371" i="2"/>
  <c r="Q371" i="2"/>
  <c r="N371" i="2"/>
  <c r="K371" i="2"/>
  <c r="AO360" i="2"/>
  <c r="AN360" i="2"/>
  <c r="AK360" i="2"/>
  <c r="AJ360" i="2"/>
  <c r="AH360" i="2"/>
  <c r="AG360" i="2"/>
  <c r="AB360" i="2"/>
  <c r="AA360" i="2"/>
  <c r="Y360" i="2"/>
  <c r="X360" i="2"/>
  <c r="V360" i="2"/>
  <c r="U360" i="2"/>
  <c r="S360" i="2"/>
  <c r="R360" i="2"/>
  <c r="P360" i="2"/>
  <c r="O360" i="2"/>
  <c r="M360" i="2"/>
  <c r="L360" i="2"/>
  <c r="J360" i="2"/>
  <c r="I360" i="2"/>
  <c r="K352" i="2"/>
  <c r="K353" i="2"/>
  <c r="K354" i="2"/>
  <c r="N352" i="2"/>
  <c r="N353" i="2"/>
  <c r="N354" i="2"/>
  <c r="T352" i="2"/>
  <c r="T353" i="2"/>
  <c r="T354" i="2"/>
  <c r="W352" i="2"/>
  <c r="W353" i="2"/>
  <c r="W354" i="2"/>
  <c r="Z352" i="2"/>
  <c r="Z353" i="2"/>
  <c r="Z354" i="2"/>
  <c r="AC352" i="2"/>
  <c r="AC353" i="2"/>
  <c r="AC354" i="2"/>
  <c r="AF352" i="2"/>
  <c r="AF353" i="2"/>
  <c r="AF354" i="2"/>
  <c r="AI352" i="2"/>
  <c r="AI353" i="2"/>
  <c r="AI354" i="2"/>
  <c r="AM352" i="2"/>
  <c r="AM353" i="2"/>
  <c r="AM354" i="2"/>
  <c r="AP352" i="2"/>
  <c r="AP353" i="2"/>
  <c r="AP354" i="2"/>
  <c r="AO356" i="2"/>
  <c r="AN356" i="2"/>
  <c r="AK356" i="2"/>
  <c r="AJ356" i="2"/>
  <c r="AH356" i="2"/>
  <c r="AG356" i="2"/>
  <c r="AB356" i="2"/>
  <c r="AA356" i="2"/>
  <c r="Y356" i="2"/>
  <c r="X356" i="2"/>
  <c r="V356" i="2"/>
  <c r="U356" i="2"/>
  <c r="S356" i="2"/>
  <c r="R356" i="2"/>
  <c r="P356" i="2"/>
  <c r="O356" i="2"/>
  <c r="M356" i="2"/>
  <c r="L356" i="2"/>
  <c r="J356" i="2"/>
  <c r="I356" i="2"/>
  <c r="AP313" i="2"/>
  <c r="AP314" i="2"/>
  <c r="AP315" i="2"/>
  <c r="AP316" i="2"/>
  <c r="AP317" i="2"/>
  <c r="AP318" i="2"/>
  <c r="AM313" i="2"/>
  <c r="AM314" i="2"/>
  <c r="AM315" i="2"/>
  <c r="AM316" i="2"/>
  <c r="AM317" i="2"/>
  <c r="AM318" i="2"/>
  <c r="AI313" i="2"/>
  <c r="AI314" i="2"/>
  <c r="AI315" i="2"/>
  <c r="AI316" i="2"/>
  <c r="AI317" i="2"/>
  <c r="AI318" i="2"/>
  <c r="AF313" i="2"/>
  <c r="AF314" i="2"/>
  <c r="AF315" i="2"/>
  <c r="AF316" i="2"/>
  <c r="AF317" i="2"/>
  <c r="AF318" i="2"/>
  <c r="AC313" i="2"/>
  <c r="AC314" i="2"/>
  <c r="AC315" i="2"/>
  <c r="AC316" i="2"/>
  <c r="AC317" i="2"/>
  <c r="AC318" i="2"/>
  <c r="Z313" i="2"/>
  <c r="Z314" i="2"/>
  <c r="Z315" i="2"/>
  <c r="Z316" i="2"/>
  <c r="Z317" i="2"/>
  <c r="Z318" i="2"/>
  <c r="W313" i="2"/>
  <c r="W314" i="2"/>
  <c r="W315" i="2"/>
  <c r="W316" i="2"/>
  <c r="W317" i="2"/>
  <c r="W318" i="2"/>
  <c r="T313" i="2"/>
  <c r="T314" i="2"/>
  <c r="T315" i="2"/>
  <c r="T316" i="2"/>
  <c r="T317" i="2"/>
  <c r="T318" i="2"/>
  <c r="Q313" i="2"/>
  <c r="Q314" i="2"/>
  <c r="Q315" i="2"/>
  <c r="Q316" i="2"/>
  <c r="Q317" i="2"/>
  <c r="Q318" i="2"/>
  <c r="K313" i="2"/>
  <c r="K314" i="2"/>
  <c r="K315" i="2"/>
  <c r="K316" i="2"/>
  <c r="K317" i="2"/>
  <c r="K318" i="2"/>
  <c r="AP306" i="2"/>
  <c r="AM306" i="2"/>
  <c r="AI306" i="2"/>
  <c r="AF306" i="2"/>
  <c r="AC306" i="2"/>
  <c r="Z306" i="2"/>
  <c r="W306" i="2"/>
  <c r="T306" i="2"/>
  <c r="Q306" i="2"/>
  <c r="K306" i="2"/>
  <c r="AO299" i="2"/>
  <c r="AN299" i="2"/>
  <c r="AK299" i="2"/>
  <c r="AJ299" i="2"/>
  <c r="AH299" i="2"/>
  <c r="AG299" i="2"/>
  <c r="AB299" i="2"/>
  <c r="AA299" i="2"/>
  <c r="Y299" i="2"/>
  <c r="X299" i="2"/>
  <c r="V299" i="2"/>
  <c r="U299" i="2"/>
  <c r="S299" i="2"/>
  <c r="R299" i="2"/>
  <c r="P299" i="2"/>
  <c r="O299" i="2"/>
  <c r="M299" i="2"/>
  <c r="L299" i="2"/>
  <c r="J299" i="2"/>
  <c r="I299" i="2"/>
  <c r="AP301" i="2"/>
  <c r="AP300" i="2"/>
  <c r="AM301" i="2"/>
  <c r="AM300" i="2"/>
  <c r="AI301" i="2"/>
  <c r="AI300" i="2"/>
  <c r="AF301" i="2"/>
  <c r="AF300" i="2"/>
  <c r="AC301" i="2"/>
  <c r="AC300" i="2"/>
  <c r="Z301" i="2"/>
  <c r="Z300" i="2"/>
  <c r="W301" i="2"/>
  <c r="W300" i="2"/>
  <c r="T301" i="2"/>
  <c r="T300" i="2"/>
  <c r="Q301" i="2"/>
  <c r="Q300" i="2"/>
  <c r="N301" i="2"/>
  <c r="N300" i="2"/>
  <c r="K301" i="2"/>
  <c r="K300" i="2"/>
  <c r="AP273" i="2"/>
  <c r="AP274" i="2"/>
  <c r="AM273" i="2"/>
  <c r="AM274" i="2"/>
  <c r="AI273" i="2"/>
  <c r="AI274" i="2"/>
  <c r="AF273" i="2"/>
  <c r="AF274" i="2"/>
  <c r="AC273" i="2"/>
  <c r="AC274" i="2"/>
  <c r="Z273" i="2"/>
  <c r="Z274" i="2"/>
  <c r="W273" i="2"/>
  <c r="W274" i="2"/>
  <c r="T273" i="2"/>
  <c r="T274" i="2"/>
  <c r="Q273" i="2"/>
  <c r="Q274" i="2"/>
  <c r="N273" i="2"/>
  <c r="N274" i="2"/>
  <c r="K273" i="2"/>
  <c r="K274" i="2"/>
  <c r="AP262" i="2"/>
  <c r="AP263" i="2"/>
  <c r="AP264" i="2"/>
  <c r="AM262" i="2"/>
  <c r="AM263" i="2"/>
  <c r="AM264" i="2"/>
  <c r="AI262" i="2"/>
  <c r="AI263" i="2"/>
  <c r="AI264" i="2"/>
  <c r="AF262" i="2"/>
  <c r="AF263" i="2"/>
  <c r="AF264" i="2"/>
  <c r="AC262" i="2"/>
  <c r="AC263" i="2"/>
  <c r="AC264" i="2"/>
  <c r="Z262" i="2"/>
  <c r="Z263" i="2"/>
  <c r="Z264" i="2"/>
  <c r="W262" i="2"/>
  <c r="W263" i="2"/>
  <c r="W264" i="2"/>
  <c r="T262" i="2"/>
  <c r="T263" i="2"/>
  <c r="T264" i="2"/>
  <c r="Q262" i="2"/>
  <c r="Q263" i="2"/>
  <c r="Q264" i="2"/>
  <c r="N262" i="2"/>
  <c r="N263" i="2"/>
  <c r="N264" i="2"/>
  <c r="K262" i="2"/>
  <c r="K263" i="2"/>
  <c r="K264" i="2"/>
  <c r="AP249" i="2"/>
  <c r="AM249" i="2"/>
  <c r="AI249" i="2"/>
  <c r="AF249" i="2"/>
  <c r="AC249" i="2"/>
  <c r="Z249" i="2"/>
  <c r="W249" i="2"/>
  <c r="T249" i="2"/>
  <c r="Q249" i="2"/>
  <c r="N249" i="2"/>
  <c r="K249" i="2"/>
  <c r="AP242" i="2"/>
  <c r="AP243" i="2"/>
  <c r="AP244" i="2"/>
  <c r="AM242" i="2"/>
  <c r="AM243" i="2"/>
  <c r="AM244" i="2"/>
  <c r="AI242" i="2"/>
  <c r="AI243" i="2"/>
  <c r="AI244" i="2"/>
  <c r="AF242" i="2"/>
  <c r="AF243" i="2"/>
  <c r="AF244" i="2"/>
  <c r="AC242" i="2"/>
  <c r="AC243" i="2"/>
  <c r="AC244" i="2"/>
  <c r="Z242" i="2"/>
  <c r="Z243" i="2"/>
  <c r="Z244" i="2"/>
  <c r="W242" i="2"/>
  <c r="W243" i="2"/>
  <c r="W244" i="2"/>
  <c r="T242" i="2"/>
  <c r="T243" i="2"/>
  <c r="T244" i="2"/>
  <c r="Q242" i="2"/>
  <c r="Q243" i="2"/>
  <c r="Q244" i="2"/>
  <c r="N242" i="2"/>
  <c r="N243" i="2"/>
  <c r="N244" i="2"/>
  <c r="K242" i="2"/>
  <c r="K243" i="2"/>
  <c r="K244" i="2"/>
  <c r="I425" i="2" l="1"/>
  <c r="N413" i="2"/>
  <c r="AI413" i="2"/>
  <c r="AP413" i="2"/>
  <c r="AF420" i="2"/>
  <c r="AQ420" i="2" s="1"/>
  <c r="AF422" i="2"/>
  <c r="AQ422" i="2" s="1"/>
  <c r="AQ424" i="2"/>
  <c r="AQ423" i="2"/>
  <c r="AF403" i="2"/>
  <c r="AQ403" i="2" s="1"/>
  <c r="Z413" i="2"/>
  <c r="Q413" i="2"/>
  <c r="AM413" i="2"/>
  <c r="K413" i="2"/>
  <c r="N402" i="2"/>
  <c r="T413" i="2"/>
  <c r="AQ418" i="2"/>
  <c r="W413" i="2"/>
  <c r="K402" i="2"/>
  <c r="AC402" i="2"/>
  <c r="AC413" i="2"/>
  <c r="Q402" i="2"/>
  <c r="AF414" i="2"/>
  <c r="AQ414" i="2" s="1"/>
  <c r="AM402" i="2"/>
  <c r="AQ417" i="2"/>
  <c r="AQ416" i="2"/>
  <c r="AQ415" i="2"/>
  <c r="AE413" i="2"/>
  <c r="AD413" i="2"/>
  <c r="AI402" i="2"/>
  <c r="T402" i="2"/>
  <c r="AP402" i="2"/>
  <c r="AQ405" i="2"/>
  <c r="W402" i="2"/>
  <c r="AQ407" i="2"/>
  <c r="Z402" i="2"/>
  <c r="AQ411" i="2"/>
  <c r="AQ404" i="2"/>
  <c r="AQ408" i="2"/>
  <c r="AQ412" i="2"/>
  <c r="AQ406" i="2"/>
  <c r="AQ410" i="2"/>
  <c r="AQ409" i="2"/>
  <c r="AE402" i="2"/>
  <c r="AD402" i="2"/>
  <c r="AQ387" i="2"/>
  <c r="AQ388" i="2"/>
  <c r="AQ396" i="2"/>
  <c r="AQ397" i="2"/>
  <c r="AQ390" i="2"/>
  <c r="AQ391" i="2"/>
  <c r="AQ389" i="2"/>
  <c r="AQ383" i="2"/>
  <c r="AQ382" i="2"/>
  <c r="AQ381" i="2"/>
  <c r="AQ380" i="2"/>
  <c r="AQ379" i="2"/>
  <c r="AQ378" i="2"/>
  <c r="AQ377" i="2"/>
  <c r="AQ376" i="2"/>
  <c r="AQ375" i="2"/>
  <c r="AQ371" i="2"/>
  <c r="AQ352" i="2"/>
  <c r="AQ353" i="2"/>
  <c r="AQ354" i="2"/>
  <c r="AQ317" i="2"/>
  <c r="AQ318" i="2"/>
  <c r="AQ316" i="2"/>
  <c r="AQ315" i="2"/>
  <c r="AQ314" i="2"/>
  <c r="AQ313" i="2"/>
  <c r="AQ301" i="2"/>
  <c r="AQ300" i="2"/>
  <c r="AQ306" i="2"/>
  <c r="AQ273" i="2"/>
  <c r="AQ274" i="2"/>
  <c r="AQ263" i="2"/>
  <c r="AQ262" i="2"/>
  <c r="AQ264" i="2"/>
  <c r="AQ242" i="2"/>
  <c r="AQ249" i="2"/>
  <c r="AQ244" i="2"/>
  <c r="AQ243" i="2"/>
  <c r="AF413" i="2" l="1"/>
  <c r="AQ413" i="2" s="1"/>
  <c r="AF402" i="2"/>
  <c r="AQ402" i="2" s="1"/>
  <c r="AP229" i="2"/>
  <c r="AI229" i="2"/>
  <c r="AF229" i="2"/>
  <c r="AC229" i="2"/>
  <c r="Z229" i="2"/>
  <c r="W229" i="2"/>
  <c r="T229" i="2"/>
  <c r="Q229" i="2"/>
  <c r="N229" i="2"/>
  <c r="K229" i="2"/>
  <c r="AO218" i="2"/>
  <c r="AN218" i="2"/>
  <c r="AK218" i="2"/>
  <c r="AJ218" i="2"/>
  <c r="AH218" i="2"/>
  <c r="AG218" i="2"/>
  <c r="AB218" i="2"/>
  <c r="AA218" i="2"/>
  <c r="Y218" i="2"/>
  <c r="X218" i="2"/>
  <c r="V218" i="2"/>
  <c r="U218" i="2"/>
  <c r="S218" i="2"/>
  <c r="R218" i="2"/>
  <c r="P218" i="2"/>
  <c r="O218" i="2"/>
  <c r="M218" i="2"/>
  <c r="L218" i="2"/>
  <c r="AO222" i="2"/>
  <c r="AN222" i="2"/>
  <c r="AK222" i="2"/>
  <c r="AJ222" i="2"/>
  <c r="AH222" i="2"/>
  <c r="AG222" i="2"/>
  <c r="AB222" i="2"/>
  <c r="AA222" i="2"/>
  <c r="Y222" i="2"/>
  <c r="X222" i="2"/>
  <c r="V222" i="2"/>
  <c r="U222" i="2"/>
  <c r="S222" i="2"/>
  <c r="R222" i="2"/>
  <c r="P222" i="2"/>
  <c r="O222" i="2"/>
  <c r="M222" i="2"/>
  <c r="L222" i="2"/>
  <c r="J222" i="2"/>
  <c r="I222" i="2"/>
  <c r="J218" i="2"/>
  <c r="I218" i="2"/>
  <c r="J212" i="2"/>
  <c r="AO212" i="2"/>
  <c r="AN212" i="2"/>
  <c r="AK212" i="2"/>
  <c r="AJ212" i="2"/>
  <c r="AH212" i="2"/>
  <c r="AG212" i="2"/>
  <c r="AB212" i="2"/>
  <c r="AA212" i="2"/>
  <c r="Y212" i="2"/>
  <c r="X212" i="2"/>
  <c r="V212" i="2"/>
  <c r="U212" i="2"/>
  <c r="S212" i="2"/>
  <c r="R212" i="2"/>
  <c r="L212" i="2"/>
  <c r="I212" i="2"/>
  <c r="P212" i="2"/>
  <c r="O212" i="2"/>
  <c r="M212" i="2"/>
  <c r="AC213" i="2"/>
  <c r="AP213" i="2"/>
  <c r="AP211" i="2"/>
  <c r="AP210" i="2"/>
  <c r="AP209" i="2"/>
  <c r="AP208" i="2"/>
  <c r="AM213" i="2"/>
  <c r="AM211" i="2"/>
  <c r="AM210" i="2"/>
  <c r="AM209" i="2"/>
  <c r="AM208" i="2"/>
  <c r="AI213" i="2"/>
  <c r="AI211" i="2"/>
  <c r="AI210" i="2"/>
  <c r="AI209" i="2"/>
  <c r="AI208" i="2"/>
  <c r="AF213" i="2"/>
  <c r="AF211" i="2"/>
  <c r="AF210" i="2"/>
  <c r="AF209" i="2"/>
  <c r="AF208" i="2"/>
  <c r="AC211" i="2"/>
  <c r="AC210" i="2"/>
  <c r="AC209" i="2"/>
  <c r="AC208" i="2"/>
  <c r="Z213" i="2"/>
  <c r="Z211" i="2"/>
  <c r="Z210" i="2"/>
  <c r="Z209" i="2"/>
  <c r="Z208" i="2"/>
  <c r="W213" i="2"/>
  <c r="W211" i="2"/>
  <c r="W210" i="2"/>
  <c r="W209" i="2"/>
  <c r="W208" i="2"/>
  <c r="T213" i="2"/>
  <c r="T211" i="2"/>
  <c r="T210" i="2"/>
  <c r="T209" i="2"/>
  <c r="T208" i="2"/>
  <c r="Q213" i="2"/>
  <c r="N213" i="2"/>
  <c r="Q211" i="2"/>
  <c r="Q210" i="2"/>
  <c r="Q209" i="2"/>
  <c r="Q208" i="2"/>
  <c r="N211" i="2"/>
  <c r="N210" i="2"/>
  <c r="N209" i="2"/>
  <c r="N208" i="2"/>
  <c r="K213" i="2"/>
  <c r="K211" i="2"/>
  <c r="K210" i="2"/>
  <c r="K209" i="2"/>
  <c r="K208" i="2"/>
  <c r="AO207" i="2"/>
  <c r="AN207" i="2"/>
  <c r="AK207" i="2"/>
  <c r="AJ207" i="2"/>
  <c r="AH207" i="2"/>
  <c r="AG207" i="2"/>
  <c r="AB207" i="2"/>
  <c r="AA207" i="2"/>
  <c r="Y207" i="2"/>
  <c r="X207" i="2"/>
  <c r="V207" i="2"/>
  <c r="U207" i="2"/>
  <c r="S207" i="2"/>
  <c r="R207" i="2"/>
  <c r="P207" i="2"/>
  <c r="O207" i="2"/>
  <c r="M207" i="2"/>
  <c r="L207" i="2"/>
  <c r="J207" i="2"/>
  <c r="I207" i="2"/>
  <c r="AP206" i="2"/>
  <c r="AP205" i="2"/>
  <c r="AP204" i="2"/>
  <c r="AP203" i="2"/>
  <c r="AP202" i="2"/>
  <c r="AM206" i="2"/>
  <c r="AM205" i="2"/>
  <c r="AM204" i="2"/>
  <c r="AM203" i="2"/>
  <c r="AM202" i="2"/>
  <c r="AI206" i="2"/>
  <c r="AI205" i="2"/>
  <c r="AI204" i="2"/>
  <c r="AI203" i="2"/>
  <c r="AI202" i="2"/>
  <c r="AF206" i="2"/>
  <c r="AF205" i="2"/>
  <c r="AF204" i="2"/>
  <c r="AF203" i="2"/>
  <c r="AF202" i="2"/>
  <c r="AC206" i="2"/>
  <c r="AC205" i="2"/>
  <c r="AC204" i="2"/>
  <c r="AC203" i="2"/>
  <c r="AC202" i="2"/>
  <c r="Z206" i="2"/>
  <c r="Z205" i="2"/>
  <c r="Z204" i="2"/>
  <c r="Z203" i="2"/>
  <c r="Z202" i="2"/>
  <c r="W206" i="2"/>
  <c r="W205" i="2"/>
  <c r="W204" i="2"/>
  <c r="W203" i="2"/>
  <c r="W202" i="2"/>
  <c r="T206" i="2"/>
  <c r="T205" i="2"/>
  <c r="T204" i="2"/>
  <c r="T203" i="2"/>
  <c r="T202" i="2"/>
  <c r="Q206" i="2"/>
  <c r="Q205" i="2"/>
  <c r="Q204" i="2"/>
  <c r="Q203" i="2"/>
  <c r="Q202" i="2"/>
  <c r="N206" i="2"/>
  <c r="N205" i="2"/>
  <c r="N204" i="2"/>
  <c r="N203" i="2"/>
  <c r="N202" i="2"/>
  <c r="K206" i="2"/>
  <c r="K205" i="2"/>
  <c r="K204" i="2"/>
  <c r="K203" i="2"/>
  <c r="K202" i="2"/>
  <c r="AN188" i="2"/>
  <c r="AO194" i="2"/>
  <c r="AN194" i="2"/>
  <c r="AK194" i="2"/>
  <c r="AJ194" i="2"/>
  <c r="AH194" i="2"/>
  <c r="AG194" i="2"/>
  <c r="AB194" i="2"/>
  <c r="AA194" i="2"/>
  <c r="Y194" i="2"/>
  <c r="X194" i="2"/>
  <c r="V194" i="2"/>
  <c r="U194" i="2"/>
  <c r="S194" i="2"/>
  <c r="R194" i="2"/>
  <c r="P194" i="2"/>
  <c r="O194" i="2"/>
  <c r="M194" i="2"/>
  <c r="L194" i="2"/>
  <c r="J194" i="2"/>
  <c r="I194" i="2"/>
  <c r="AO201" i="2"/>
  <c r="AN201" i="2"/>
  <c r="AK201" i="2"/>
  <c r="AJ201" i="2"/>
  <c r="AH201" i="2"/>
  <c r="AG201" i="2"/>
  <c r="AB201" i="2"/>
  <c r="AA201" i="2"/>
  <c r="V201" i="2"/>
  <c r="U201" i="2"/>
  <c r="S201" i="2"/>
  <c r="R201" i="2"/>
  <c r="P201" i="2"/>
  <c r="O201" i="2"/>
  <c r="M201" i="2"/>
  <c r="L201" i="2"/>
  <c r="I201" i="2"/>
  <c r="AC112" i="2"/>
  <c r="AC111" i="2"/>
  <c r="AC110" i="2"/>
  <c r="AC109" i="2"/>
  <c r="AC108" i="2"/>
  <c r="AC107" i="2"/>
  <c r="AC106" i="2"/>
  <c r="AC105" i="2"/>
  <c r="AC104" i="2"/>
  <c r="AC103" i="2"/>
  <c r="AC101" i="2"/>
  <c r="AC100" i="2"/>
  <c r="AC99" i="2"/>
  <c r="AC98" i="2"/>
  <c r="AC96" i="2"/>
  <c r="AC95" i="2"/>
  <c r="AC94" i="2"/>
  <c r="AC93" i="2"/>
  <c r="AC91" i="2"/>
  <c r="AC90" i="2"/>
  <c r="AC89" i="2"/>
  <c r="AC88" i="2"/>
  <c r="AC87" i="2"/>
  <c r="AC86" i="2"/>
  <c r="AC85" i="2"/>
  <c r="AC84" i="2"/>
  <c r="AC83" i="2"/>
  <c r="AC81" i="2"/>
  <c r="AC80" i="2"/>
  <c r="AC79" i="2"/>
  <c r="AC78" i="2"/>
  <c r="AC77" i="2"/>
  <c r="AC75" i="2"/>
  <c r="AC73" i="2"/>
  <c r="AC72" i="2"/>
  <c r="AC71" i="2"/>
  <c r="AC70" i="2"/>
  <c r="AC69" i="2"/>
  <c r="AC68" i="2"/>
  <c r="AC67" i="2"/>
  <c r="AC66" i="2"/>
  <c r="AC65" i="2"/>
  <c r="AC63" i="2"/>
  <c r="AC62" i="2"/>
  <c r="AC61" i="2"/>
  <c r="AC60" i="2"/>
  <c r="AC59" i="2"/>
  <c r="AC58" i="2"/>
  <c r="AC57" i="2"/>
  <c r="AC55" i="2"/>
  <c r="AC54" i="2"/>
  <c r="AC53" i="2"/>
  <c r="AC52" i="2"/>
  <c r="AC51" i="2"/>
  <c r="AC50" i="2"/>
  <c r="AC49" i="2"/>
  <c r="AC47" i="2"/>
  <c r="AC46" i="2"/>
  <c r="AC45" i="2"/>
  <c r="AC44" i="2"/>
  <c r="AC43" i="2"/>
  <c r="AC42" i="2"/>
  <c r="AC41" i="2"/>
  <c r="AF112" i="2"/>
  <c r="AF111" i="2"/>
  <c r="AF110" i="2"/>
  <c r="AF109" i="2"/>
  <c r="AF108" i="2"/>
  <c r="AF107" i="2"/>
  <c r="AF106" i="2"/>
  <c r="AF105" i="2"/>
  <c r="AF104" i="2"/>
  <c r="AF103" i="2"/>
  <c r="AF101" i="2"/>
  <c r="AF100" i="2"/>
  <c r="AF99" i="2"/>
  <c r="AF98" i="2"/>
  <c r="AF96" i="2"/>
  <c r="AF95" i="2"/>
  <c r="AF94" i="2"/>
  <c r="AF93" i="2"/>
  <c r="AF91" i="2"/>
  <c r="AF90" i="2"/>
  <c r="AF89" i="2"/>
  <c r="AF88" i="2"/>
  <c r="AF87" i="2"/>
  <c r="AF86" i="2"/>
  <c r="AF85" i="2"/>
  <c r="AF84" i="2"/>
  <c r="AF83" i="2"/>
  <c r="AF81" i="2"/>
  <c r="AF80" i="2"/>
  <c r="AF79" i="2"/>
  <c r="AF78" i="2"/>
  <c r="AF77" i="2"/>
  <c r="AF75" i="2"/>
  <c r="AF73" i="2"/>
  <c r="AF72" i="2"/>
  <c r="AF71" i="2"/>
  <c r="AF70" i="2"/>
  <c r="AF69" i="2"/>
  <c r="AF68" i="2"/>
  <c r="AF67" i="2"/>
  <c r="AF66" i="2"/>
  <c r="AF65" i="2"/>
  <c r="AF47" i="2"/>
  <c r="AF46" i="2"/>
  <c r="AF45" i="2"/>
  <c r="AF44" i="2"/>
  <c r="AF43" i="2"/>
  <c r="AF42" i="2"/>
  <c r="AF41" i="2"/>
  <c r="AF49" i="2"/>
  <c r="AF55" i="2"/>
  <c r="AF54" i="2"/>
  <c r="AF53" i="2"/>
  <c r="AF52" i="2"/>
  <c r="AF51" i="2"/>
  <c r="AF50" i="2"/>
  <c r="AF63" i="2"/>
  <c r="AF62" i="2"/>
  <c r="AF61" i="2"/>
  <c r="AF60" i="2"/>
  <c r="AF59" i="2"/>
  <c r="AF58" i="2"/>
  <c r="AF57" i="2"/>
  <c r="AI112" i="2"/>
  <c r="AI111" i="2"/>
  <c r="AI110" i="2"/>
  <c r="AI109" i="2"/>
  <c r="AI108" i="2"/>
  <c r="AI107" i="2"/>
  <c r="AI106" i="2"/>
  <c r="AI105" i="2"/>
  <c r="AI104" i="2"/>
  <c r="AI103" i="2"/>
  <c r="AI101" i="2"/>
  <c r="AI100" i="2"/>
  <c r="AI99" i="2"/>
  <c r="AI98" i="2"/>
  <c r="AI96" i="2"/>
  <c r="AI95" i="2"/>
  <c r="AI94" i="2"/>
  <c r="AI93" i="2"/>
  <c r="AI91" i="2"/>
  <c r="AI90" i="2"/>
  <c r="AI89" i="2"/>
  <c r="AI88" i="2"/>
  <c r="AI87" i="2"/>
  <c r="AI86" i="2"/>
  <c r="AI85" i="2"/>
  <c r="AI84" i="2"/>
  <c r="AI83" i="2"/>
  <c r="AI81" i="2"/>
  <c r="AI80" i="2"/>
  <c r="AI79" i="2"/>
  <c r="AI78" i="2"/>
  <c r="AI77" i="2"/>
  <c r="AI75" i="2"/>
  <c r="AI73" i="2"/>
  <c r="AI72" i="2"/>
  <c r="AI71" i="2"/>
  <c r="AI70" i="2"/>
  <c r="AI69" i="2"/>
  <c r="AI68" i="2"/>
  <c r="AI67" i="2"/>
  <c r="AI66" i="2"/>
  <c r="AI65" i="2"/>
  <c r="AI63" i="2"/>
  <c r="AI62" i="2"/>
  <c r="AI61" i="2"/>
  <c r="AI60" i="2"/>
  <c r="AI59" i="2"/>
  <c r="AI58" i="2"/>
  <c r="AI57" i="2"/>
  <c r="AI55" i="2"/>
  <c r="AI54" i="2"/>
  <c r="AI53" i="2"/>
  <c r="AI52" i="2"/>
  <c r="AI51" i="2"/>
  <c r="AI50" i="2"/>
  <c r="AI49" i="2"/>
  <c r="AI47" i="2"/>
  <c r="AI46" i="2"/>
  <c r="AI45" i="2"/>
  <c r="AI44" i="2"/>
  <c r="AI43" i="2"/>
  <c r="AI42" i="2"/>
  <c r="AI41" i="2"/>
  <c r="AM43" i="2"/>
  <c r="AM42" i="2"/>
  <c r="AM41" i="2"/>
  <c r="AM47" i="2"/>
  <c r="AM46" i="2"/>
  <c r="AM45" i="2"/>
  <c r="AM44" i="2"/>
  <c r="AM49" i="2"/>
  <c r="AM55" i="2"/>
  <c r="AM54" i="2"/>
  <c r="AM53" i="2"/>
  <c r="AM52" i="2"/>
  <c r="AM51" i="2"/>
  <c r="AM50" i="2"/>
  <c r="AM59" i="2"/>
  <c r="AM58" i="2"/>
  <c r="AM57" i="2"/>
  <c r="AM63" i="2"/>
  <c r="AM62" i="2"/>
  <c r="AM61" i="2"/>
  <c r="AM60" i="2"/>
  <c r="AM66" i="2"/>
  <c r="AM65" i="2"/>
  <c r="AM71" i="2"/>
  <c r="AM70" i="2"/>
  <c r="AM69" i="2"/>
  <c r="AM68" i="2"/>
  <c r="AM67" i="2"/>
  <c r="AM75" i="2"/>
  <c r="AM73" i="2"/>
  <c r="AM72" i="2"/>
  <c r="AM81" i="2"/>
  <c r="AM80" i="2"/>
  <c r="AM79" i="2"/>
  <c r="AM78" i="2"/>
  <c r="AM77" i="2"/>
  <c r="AM84" i="2"/>
  <c r="AM83" i="2"/>
  <c r="AM91" i="2"/>
  <c r="AM90" i="2"/>
  <c r="AM89" i="2"/>
  <c r="AM88" i="2"/>
  <c r="AM87" i="2"/>
  <c r="AM86" i="2"/>
  <c r="AM85" i="2"/>
  <c r="AM96" i="2"/>
  <c r="AM95" i="2"/>
  <c r="AM94" i="2"/>
  <c r="AM93" i="2"/>
  <c r="AM101" i="2"/>
  <c r="AM100" i="2"/>
  <c r="AM99" i="2"/>
  <c r="AM98" i="2"/>
  <c r="AM112" i="2"/>
  <c r="AM111" i="2"/>
  <c r="AM110" i="2"/>
  <c r="AM109" i="2"/>
  <c r="AM108" i="2"/>
  <c r="AM107" i="2"/>
  <c r="AM106" i="2"/>
  <c r="AM105" i="2"/>
  <c r="AM104" i="2"/>
  <c r="AM103" i="2"/>
  <c r="AP112" i="2"/>
  <c r="AP111" i="2"/>
  <c r="AP110" i="2"/>
  <c r="AP109" i="2"/>
  <c r="AP108" i="2"/>
  <c r="AP107" i="2"/>
  <c r="AP106" i="2"/>
  <c r="AP105" i="2"/>
  <c r="AP104" i="2"/>
  <c r="AP103" i="2"/>
  <c r="AP101" i="2"/>
  <c r="AP100" i="2"/>
  <c r="AP99" i="2"/>
  <c r="AP98" i="2"/>
  <c r="AP96" i="2"/>
  <c r="AP95" i="2"/>
  <c r="AP94" i="2"/>
  <c r="AP93" i="2"/>
  <c r="AP91" i="2"/>
  <c r="AP90" i="2"/>
  <c r="AP89" i="2"/>
  <c r="AP88" i="2"/>
  <c r="AP87" i="2"/>
  <c r="AP86" i="2"/>
  <c r="AP85" i="2"/>
  <c r="AP84" i="2"/>
  <c r="AP83" i="2"/>
  <c r="AP81" i="2"/>
  <c r="AP80" i="2"/>
  <c r="AP79" i="2"/>
  <c r="AP78" i="2"/>
  <c r="AP77" i="2"/>
  <c r="AP75" i="2"/>
  <c r="AP73" i="2"/>
  <c r="AP72" i="2"/>
  <c r="AP71" i="2"/>
  <c r="AP70" i="2"/>
  <c r="AP69" i="2"/>
  <c r="AP68" i="2"/>
  <c r="AP67" i="2"/>
  <c r="AP66" i="2"/>
  <c r="AP65" i="2"/>
  <c r="AP63" i="2"/>
  <c r="AP62" i="2"/>
  <c r="AP61" i="2"/>
  <c r="AP60" i="2"/>
  <c r="AP59" i="2"/>
  <c r="AP58" i="2"/>
  <c r="AP57" i="2"/>
  <c r="AP55" i="2"/>
  <c r="AP54" i="2"/>
  <c r="AP53" i="2"/>
  <c r="AP52" i="2"/>
  <c r="AP51" i="2"/>
  <c r="AP50" i="2"/>
  <c r="AP49" i="2"/>
  <c r="AP47" i="2"/>
  <c r="AP46" i="2"/>
  <c r="AP45" i="2"/>
  <c r="AP44" i="2"/>
  <c r="AP43" i="2"/>
  <c r="AP42" i="2"/>
  <c r="AP41" i="2"/>
  <c r="AP30" i="2"/>
  <c r="AP31" i="2"/>
  <c r="AM30" i="2"/>
  <c r="AM31" i="2"/>
  <c r="AI30" i="2"/>
  <c r="AI31" i="2"/>
  <c r="T30" i="2"/>
  <c r="T31" i="2"/>
  <c r="W30" i="2"/>
  <c r="W31" i="2"/>
  <c r="Z30" i="2"/>
  <c r="Z31" i="2"/>
  <c r="AC30" i="2"/>
  <c r="AC31" i="2"/>
  <c r="AF30" i="2"/>
  <c r="AF31" i="2"/>
  <c r="Z112" i="2"/>
  <c r="Z111" i="2"/>
  <c r="Z110" i="2"/>
  <c r="Z109" i="2"/>
  <c r="Z108" i="2"/>
  <c r="Z107" i="2"/>
  <c r="Z106" i="2"/>
  <c r="Z105" i="2"/>
  <c r="Z104" i="2"/>
  <c r="Z103" i="2"/>
  <c r="Z101" i="2"/>
  <c r="Z100" i="2"/>
  <c r="Z99" i="2"/>
  <c r="Z98" i="2"/>
  <c r="Z96" i="2"/>
  <c r="Z95" i="2"/>
  <c r="Z94" i="2"/>
  <c r="Z93" i="2"/>
  <c r="Z91" i="2"/>
  <c r="Z90" i="2"/>
  <c r="Z89" i="2"/>
  <c r="Z88" i="2"/>
  <c r="Z87" i="2"/>
  <c r="Z86" i="2"/>
  <c r="Z85" i="2"/>
  <c r="Z84" i="2"/>
  <c r="Z83" i="2"/>
  <c r="Z81" i="2"/>
  <c r="Z80" i="2"/>
  <c r="Z79" i="2"/>
  <c r="Z78" i="2"/>
  <c r="Z77" i="2"/>
  <c r="Z75" i="2"/>
  <c r="Z73" i="2"/>
  <c r="Z72" i="2"/>
  <c r="Z71" i="2"/>
  <c r="Z70" i="2"/>
  <c r="Z69" i="2"/>
  <c r="Z68" i="2"/>
  <c r="Z67" i="2"/>
  <c r="Z66" i="2"/>
  <c r="Z65" i="2"/>
  <c r="Z63" i="2"/>
  <c r="Z62" i="2"/>
  <c r="Z61" i="2"/>
  <c r="Z60" i="2"/>
  <c r="Z59" i="2"/>
  <c r="Z58" i="2"/>
  <c r="Z57" i="2"/>
  <c r="Z55" i="2"/>
  <c r="Z54" i="2"/>
  <c r="Z53" i="2"/>
  <c r="Z52" i="2"/>
  <c r="Z51" i="2"/>
  <c r="Z50" i="2"/>
  <c r="Z49" i="2"/>
  <c r="Z47" i="2"/>
  <c r="Z46" i="2"/>
  <c r="Z45" i="2"/>
  <c r="Z44" i="2"/>
  <c r="Z43" i="2"/>
  <c r="Z42" i="2"/>
  <c r="Z41" i="2"/>
  <c r="T112" i="2"/>
  <c r="T111" i="2"/>
  <c r="T110" i="2"/>
  <c r="T109" i="2"/>
  <c r="T108" i="2"/>
  <c r="T107" i="2"/>
  <c r="T106" i="2"/>
  <c r="T105" i="2"/>
  <c r="T104" i="2"/>
  <c r="T103" i="2"/>
  <c r="T101" i="2"/>
  <c r="T100" i="2"/>
  <c r="T99" i="2"/>
  <c r="T98" i="2"/>
  <c r="T96" i="2"/>
  <c r="T95" i="2"/>
  <c r="T94" i="2"/>
  <c r="T93" i="2"/>
  <c r="W112" i="2"/>
  <c r="W111" i="2"/>
  <c r="W110" i="2"/>
  <c r="W109" i="2"/>
  <c r="W108" i="2"/>
  <c r="W107" i="2"/>
  <c r="W106" i="2"/>
  <c r="W105" i="2"/>
  <c r="W104" i="2"/>
  <c r="W103" i="2"/>
  <c r="W101" i="2"/>
  <c r="W100" i="2"/>
  <c r="W99" i="2"/>
  <c r="W98" i="2"/>
  <c r="W96" i="2"/>
  <c r="W95" i="2"/>
  <c r="W94" i="2"/>
  <c r="W93" i="2"/>
  <c r="W91" i="2"/>
  <c r="W90" i="2"/>
  <c r="W89" i="2"/>
  <c r="W88" i="2"/>
  <c r="W87" i="2"/>
  <c r="W86" i="2"/>
  <c r="W85" i="2"/>
  <c r="W84" i="2"/>
  <c r="W83" i="2"/>
  <c r="W81" i="2"/>
  <c r="W80" i="2"/>
  <c r="W79" i="2"/>
  <c r="W78" i="2"/>
  <c r="W77" i="2"/>
  <c r="W75" i="2"/>
  <c r="W73" i="2"/>
  <c r="W72" i="2"/>
  <c r="W71" i="2"/>
  <c r="W70" i="2"/>
  <c r="W69" i="2"/>
  <c r="W68" i="2"/>
  <c r="W67" i="2"/>
  <c r="W66" i="2"/>
  <c r="W65" i="2"/>
  <c r="W63" i="2"/>
  <c r="W62" i="2"/>
  <c r="W61" i="2"/>
  <c r="W60" i="2"/>
  <c r="W59" i="2"/>
  <c r="W58" i="2"/>
  <c r="W57" i="2"/>
  <c r="W55" i="2"/>
  <c r="W54" i="2"/>
  <c r="W53" i="2"/>
  <c r="W52" i="2"/>
  <c r="W51" i="2"/>
  <c r="W50" i="2"/>
  <c r="W49" i="2"/>
  <c r="W47" i="2"/>
  <c r="W46" i="2"/>
  <c r="W45" i="2"/>
  <c r="W44" i="2"/>
  <c r="W43" i="2"/>
  <c r="W42" i="2"/>
  <c r="W41" i="2"/>
  <c r="T91" i="2"/>
  <c r="T90" i="2"/>
  <c r="T89" i="2"/>
  <c r="T88" i="2"/>
  <c r="T87" i="2"/>
  <c r="T86" i="2"/>
  <c r="T85" i="2"/>
  <c r="T84" i="2"/>
  <c r="T83" i="2"/>
  <c r="T81" i="2"/>
  <c r="T80" i="2"/>
  <c r="T79" i="2"/>
  <c r="T78" i="2"/>
  <c r="T77" i="2"/>
  <c r="T75" i="2"/>
  <c r="T73" i="2"/>
  <c r="T72" i="2"/>
  <c r="T71" i="2"/>
  <c r="T70" i="2"/>
  <c r="T69" i="2"/>
  <c r="T68" i="2"/>
  <c r="T67" i="2"/>
  <c r="T66" i="2"/>
  <c r="T65" i="2"/>
  <c r="T63" i="2"/>
  <c r="T62" i="2"/>
  <c r="T61" i="2"/>
  <c r="T60" i="2"/>
  <c r="T59" i="2"/>
  <c r="T58" i="2"/>
  <c r="T57" i="2"/>
  <c r="T55" i="2"/>
  <c r="T54" i="2"/>
  <c r="T53" i="2"/>
  <c r="T52" i="2"/>
  <c r="T51" i="2"/>
  <c r="T50" i="2"/>
  <c r="T49" i="2"/>
  <c r="T47" i="2"/>
  <c r="T46" i="2"/>
  <c r="T45" i="2"/>
  <c r="T44" i="2"/>
  <c r="T43" i="2"/>
  <c r="T42" i="2"/>
  <c r="T41" i="2"/>
  <c r="Q101" i="2"/>
  <c r="Q100" i="2"/>
  <c r="Q99" i="2"/>
  <c r="Q98" i="2"/>
  <c r="Q96" i="2"/>
  <c r="Q95" i="2"/>
  <c r="Q94" i="2"/>
  <c r="Q93" i="2"/>
  <c r="Q91" i="2"/>
  <c r="Q90" i="2"/>
  <c r="Q89" i="2"/>
  <c r="Q88" i="2"/>
  <c r="Q87" i="2"/>
  <c r="Q86" i="2"/>
  <c r="Q85" i="2"/>
  <c r="Q84" i="2"/>
  <c r="Q83" i="2"/>
  <c r="Q81" i="2"/>
  <c r="Q80" i="2"/>
  <c r="Q79" i="2"/>
  <c r="Q78" i="2"/>
  <c r="Q77" i="2"/>
  <c r="Q75" i="2"/>
  <c r="Q73" i="2"/>
  <c r="Q72" i="2"/>
  <c r="Q71" i="2"/>
  <c r="Q70" i="2"/>
  <c r="Q69" i="2"/>
  <c r="Q68" i="2"/>
  <c r="Q67" i="2"/>
  <c r="Q66" i="2"/>
  <c r="Q65" i="2"/>
  <c r="Q63" i="2"/>
  <c r="Q62" i="2"/>
  <c r="Q61" i="2"/>
  <c r="Q60" i="2"/>
  <c r="Q59" i="2"/>
  <c r="Q58" i="2"/>
  <c r="Q57" i="2"/>
  <c r="Q55" i="2"/>
  <c r="Q54" i="2"/>
  <c r="Q53" i="2"/>
  <c r="Q52" i="2"/>
  <c r="Q51" i="2"/>
  <c r="Q50" i="2"/>
  <c r="Q49" i="2"/>
  <c r="N101" i="2"/>
  <c r="N100" i="2"/>
  <c r="N99" i="2"/>
  <c r="N98" i="2"/>
  <c r="N96" i="2"/>
  <c r="N95" i="2"/>
  <c r="N94" i="2"/>
  <c r="N93" i="2"/>
  <c r="N91" i="2"/>
  <c r="N90" i="2"/>
  <c r="N89" i="2"/>
  <c r="N88" i="2"/>
  <c r="N87" i="2"/>
  <c r="N86" i="2"/>
  <c r="N85" i="2"/>
  <c r="N84" i="2"/>
  <c r="N83" i="2"/>
  <c r="N81" i="2"/>
  <c r="N80" i="2"/>
  <c r="N79" i="2"/>
  <c r="N78" i="2"/>
  <c r="N77" i="2"/>
  <c r="N75" i="2"/>
  <c r="N73" i="2"/>
  <c r="N72" i="2"/>
  <c r="N71" i="2"/>
  <c r="N70" i="2"/>
  <c r="N69" i="2"/>
  <c r="N68" i="2"/>
  <c r="N67" i="2"/>
  <c r="N66" i="2"/>
  <c r="N65" i="2"/>
  <c r="N63" i="2"/>
  <c r="N62" i="2"/>
  <c r="N61" i="2"/>
  <c r="N60" i="2"/>
  <c r="N59" i="2"/>
  <c r="N58" i="2"/>
  <c r="N57" i="2"/>
  <c r="N55" i="2"/>
  <c r="N54" i="2"/>
  <c r="N53" i="2"/>
  <c r="N52" i="2"/>
  <c r="N51" i="2"/>
  <c r="N50" i="2"/>
  <c r="N49" i="2"/>
  <c r="K112" i="2"/>
  <c r="K111" i="2"/>
  <c r="K110" i="2"/>
  <c r="K109" i="2"/>
  <c r="K108" i="2"/>
  <c r="K107" i="2"/>
  <c r="K106" i="2"/>
  <c r="K105" i="2"/>
  <c r="K104" i="2"/>
  <c r="K103" i="2"/>
  <c r="K101" i="2"/>
  <c r="K100" i="2"/>
  <c r="K99" i="2"/>
  <c r="K98" i="2"/>
  <c r="K96" i="2"/>
  <c r="K95" i="2"/>
  <c r="K94" i="2"/>
  <c r="K93" i="2"/>
  <c r="K91" i="2"/>
  <c r="K90" i="2"/>
  <c r="K89" i="2"/>
  <c r="K88" i="2"/>
  <c r="K87" i="2"/>
  <c r="K86" i="2"/>
  <c r="K85" i="2"/>
  <c r="K84" i="2"/>
  <c r="K83" i="2"/>
  <c r="K81" i="2"/>
  <c r="K80" i="2"/>
  <c r="K79" i="2"/>
  <c r="K78" i="2"/>
  <c r="K77" i="2"/>
  <c r="K75" i="2"/>
  <c r="K73" i="2"/>
  <c r="K72" i="2"/>
  <c r="K71" i="2"/>
  <c r="K70" i="2"/>
  <c r="K69" i="2"/>
  <c r="K68" i="2"/>
  <c r="K67" i="2"/>
  <c r="K66" i="2"/>
  <c r="K65" i="2"/>
  <c r="K63" i="2"/>
  <c r="K62" i="2"/>
  <c r="K61" i="2"/>
  <c r="K60" i="2"/>
  <c r="K59" i="2"/>
  <c r="K58" i="2"/>
  <c r="K57" i="2"/>
  <c r="K55" i="2"/>
  <c r="K54" i="2"/>
  <c r="K53" i="2"/>
  <c r="K52" i="2"/>
  <c r="K51" i="2"/>
  <c r="K50" i="2"/>
  <c r="K49" i="2"/>
  <c r="Q112" i="2"/>
  <c r="Q111" i="2"/>
  <c r="Q110" i="2"/>
  <c r="Q109" i="2"/>
  <c r="Q108" i="2"/>
  <c r="Q107" i="2"/>
  <c r="Q106" i="2"/>
  <c r="Q105" i="2"/>
  <c r="Q104" i="2"/>
  <c r="Q103" i="2"/>
  <c r="N112" i="2"/>
  <c r="N111" i="2"/>
  <c r="N110" i="2"/>
  <c r="N109" i="2"/>
  <c r="N108" i="2"/>
  <c r="N107" i="2"/>
  <c r="N106" i="2"/>
  <c r="N105" i="2"/>
  <c r="N104" i="2"/>
  <c r="N103" i="2"/>
  <c r="Q47" i="2"/>
  <c r="Q46" i="2"/>
  <c r="Q45" i="2"/>
  <c r="Q44" i="2"/>
  <c r="Q43" i="2"/>
  <c r="Q42" i="2"/>
  <c r="Q41" i="2"/>
  <c r="N47" i="2"/>
  <c r="N46" i="2"/>
  <c r="N45" i="2"/>
  <c r="N44" i="2"/>
  <c r="N43" i="2"/>
  <c r="N42" i="2"/>
  <c r="N41" i="2"/>
  <c r="K47" i="2"/>
  <c r="K46" i="2"/>
  <c r="K45" i="2"/>
  <c r="K44" i="2"/>
  <c r="K43" i="2"/>
  <c r="K42" i="2"/>
  <c r="K41" i="2"/>
  <c r="AP39" i="2"/>
  <c r="AP38" i="2"/>
  <c r="AP37" i="2"/>
  <c r="AP36" i="2"/>
  <c r="AP35" i="2"/>
  <c r="AM39" i="2"/>
  <c r="AM38" i="2"/>
  <c r="AM37" i="2"/>
  <c r="AM36" i="2"/>
  <c r="AM35" i="2"/>
  <c r="AI39" i="2"/>
  <c r="AI38" i="2"/>
  <c r="AI37" i="2"/>
  <c r="AI36" i="2"/>
  <c r="AI35" i="2"/>
  <c r="AF39" i="2"/>
  <c r="AF38" i="2"/>
  <c r="AF37" i="2"/>
  <c r="AF36" i="2"/>
  <c r="AF35" i="2"/>
  <c r="AC39" i="2"/>
  <c r="AC38" i="2"/>
  <c r="AC37" i="2"/>
  <c r="AC36" i="2"/>
  <c r="AC35" i="2"/>
  <c r="Z39" i="2"/>
  <c r="Z38" i="2"/>
  <c r="Z37" i="2"/>
  <c r="Z36" i="2"/>
  <c r="Z35" i="2"/>
  <c r="W39" i="2"/>
  <c r="W38" i="2"/>
  <c r="W37" i="2"/>
  <c r="W36" i="2"/>
  <c r="W35" i="2"/>
  <c r="T39" i="2"/>
  <c r="T38" i="2"/>
  <c r="T37" i="2"/>
  <c r="T36" i="2"/>
  <c r="T35" i="2"/>
  <c r="Q39" i="2"/>
  <c r="Q38" i="2"/>
  <c r="Q37" i="2"/>
  <c r="Q36" i="2"/>
  <c r="Q35" i="2"/>
  <c r="N39" i="2"/>
  <c r="N38" i="2"/>
  <c r="N37" i="2"/>
  <c r="N36" i="2"/>
  <c r="N35" i="2"/>
  <c r="N34" i="2"/>
  <c r="K39" i="2"/>
  <c r="K38" i="2"/>
  <c r="K37" i="2"/>
  <c r="K36" i="2"/>
  <c r="K35" i="2"/>
  <c r="AM178" i="2"/>
  <c r="AM177" i="2"/>
  <c r="AM176" i="2"/>
  <c r="AM175" i="2"/>
  <c r="AM173" i="2"/>
  <c r="AM172" i="2"/>
  <c r="AM170" i="2"/>
  <c r="AM169" i="2"/>
  <c r="AM168" i="2"/>
  <c r="AM167" i="2"/>
  <c r="AI178" i="2"/>
  <c r="AI177" i="2"/>
  <c r="AI176" i="2"/>
  <c r="AI175" i="2"/>
  <c r="AI173" i="2"/>
  <c r="AI172" i="2"/>
  <c r="AI170" i="2"/>
  <c r="AI169" i="2"/>
  <c r="AI168" i="2"/>
  <c r="AI167" i="2"/>
  <c r="AF178" i="2"/>
  <c r="AF177" i="2"/>
  <c r="AF176" i="2"/>
  <c r="AF175" i="2"/>
  <c r="AF173" i="2"/>
  <c r="AF172" i="2"/>
  <c r="AF170" i="2"/>
  <c r="AF169" i="2"/>
  <c r="AF168" i="2"/>
  <c r="AF167" i="2"/>
  <c r="AC178" i="2"/>
  <c r="AC177" i="2"/>
  <c r="AC176" i="2"/>
  <c r="AC175" i="2"/>
  <c r="AC173" i="2"/>
  <c r="AC172" i="2"/>
  <c r="AC170" i="2"/>
  <c r="AC169" i="2"/>
  <c r="AC168" i="2"/>
  <c r="AC167" i="2"/>
  <c r="Z178" i="2"/>
  <c r="Z177" i="2"/>
  <c r="Z176" i="2"/>
  <c r="Z175" i="2"/>
  <c r="Z173" i="2"/>
  <c r="Z172" i="2"/>
  <c r="Z170" i="2"/>
  <c r="Z169" i="2"/>
  <c r="Z168" i="2"/>
  <c r="Z167" i="2"/>
  <c r="W178" i="2"/>
  <c r="W177" i="2"/>
  <c r="W176" i="2"/>
  <c r="W175" i="2"/>
  <c r="W173" i="2"/>
  <c r="W172" i="2"/>
  <c r="W170" i="2"/>
  <c r="W169" i="2"/>
  <c r="W168" i="2"/>
  <c r="W167" i="2"/>
  <c r="T178" i="2"/>
  <c r="T177" i="2"/>
  <c r="T176" i="2"/>
  <c r="T175" i="2"/>
  <c r="T173" i="2"/>
  <c r="T172" i="2"/>
  <c r="T170" i="2"/>
  <c r="T169" i="2"/>
  <c r="T168" i="2"/>
  <c r="T167" i="2"/>
  <c r="AP178" i="2"/>
  <c r="AP177" i="2"/>
  <c r="AP176" i="2"/>
  <c r="AP175" i="2"/>
  <c r="AP173" i="2"/>
  <c r="AP172" i="2"/>
  <c r="AP170" i="2"/>
  <c r="AP169" i="2"/>
  <c r="AP168" i="2"/>
  <c r="AP167" i="2"/>
  <c r="AO174" i="2"/>
  <c r="AN174" i="2"/>
  <c r="AK174" i="2"/>
  <c r="AJ174" i="2"/>
  <c r="AH174" i="2"/>
  <c r="AG174" i="2"/>
  <c r="AB174" i="2"/>
  <c r="AA174" i="2"/>
  <c r="Y174" i="2"/>
  <c r="X174" i="2"/>
  <c r="V174" i="2"/>
  <c r="U174" i="2"/>
  <c r="S174" i="2"/>
  <c r="R174" i="2"/>
  <c r="P174" i="2"/>
  <c r="O174" i="2"/>
  <c r="M174" i="2"/>
  <c r="L174" i="2"/>
  <c r="J174" i="2"/>
  <c r="I174" i="2"/>
  <c r="Q178" i="2"/>
  <c r="Q177" i="2"/>
  <c r="Q176" i="2"/>
  <c r="Q175" i="2"/>
  <c r="Q173" i="2"/>
  <c r="Q172" i="2"/>
  <c r="Q170" i="2"/>
  <c r="Q169" i="2"/>
  <c r="Q168" i="2"/>
  <c r="Q167" i="2"/>
  <c r="N178" i="2"/>
  <c r="N177" i="2"/>
  <c r="N176" i="2"/>
  <c r="N175" i="2"/>
  <c r="N173" i="2"/>
  <c r="N172" i="2"/>
  <c r="N170" i="2"/>
  <c r="N169" i="2"/>
  <c r="N168" i="2"/>
  <c r="N167" i="2"/>
  <c r="K178" i="2"/>
  <c r="K177" i="2"/>
  <c r="K176" i="2"/>
  <c r="K175" i="2"/>
  <c r="K173" i="2"/>
  <c r="K172" i="2"/>
  <c r="K170" i="2"/>
  <c r="K169" i="2"/>
  <c r="K168" i="2"/>
  <c r="K167" i="2"/>
  <c r="AP162" i="2"/>
  <c r="AP161" i="2"/>
  <c r="AP159" i="2"/>
  <c r="AP158" i="2"/>
  <c r="AP156" i="2"/>
  <c r="AP155" i="2"/>
  <c r="AP154" i="2"/>
  <c r="AP152" i="2"/>
  <c r="AP151" i="2"/>
  <c r="AP149" i="2"/>
  <c r="AP148" i="2"/>
  <c r="AP147" i="2"/>
  <c r="AP145" i="2"/>
  <c r="AP144" i="2"/>
  <c r="AP142" i="2"/>
  <c r="AP141" i="2"/>
  <c r="AP140" i="2"/>
  <c r="AP139" i="2"/>
  <c r="AM162" i="2"/>
  <c r="AM161" i="2"/>
  <c r="AM159" i="2"/>
  <c r="AM158" i="2"/>
  <c r="AM156" i="2"/>
  <c r="AM155" i="2"/>
  <c r="AM154" i="2"/>
  <c r="AM152" i="2"/>
  <c r="AM151" i="2"/>
  <c r="AM149" i="2"/>
  <c r="AM148" i="2"/>
  <c r="AM147" i="2"/>
  <c r="AM145" i="2"/>
  <c r="AM144" i="2"/>
  <c r="AM142" i="2"/>
  <c r="AM141" i="2"/>
  <c r="AM140" i="2"/>
  <c r="AM139" i="2"/>
  <c r="AI162" i="2"/>
  <c r="AI161" i="2"/>
  <c r="AI159" i="2"/>
  <c r="AI158" i="2"/>
  <c r="AI156" i="2"/>
  <c r="AI155" i="2"/>
  <c r="AI154" i="2"/>
  <c r="AI152" i="2"/>
  <c r="AI151" i="2"/>
  <c r="AI149" i="2"/>
  <c r="AI148" i="2"/>
  <c r="AI147" i="2"/>
  <c r="AI145" i="2"/>
  <c r="AI144" i="2"/>
  <c r="AI142" i="2"/>
  <c r="AI141" i="2"/>
  <c r="AI140" i="2"/>
  <c r="AI139" i="2"/>
  <c r="AF162" i="2"/>
  <c r="AF161" i="2"/>
  <c r="AF159" i="2"/>
  <c r="AF158" i="2"/>
  <c r="AF156" i="2"/>
  <c r="AF155" i="2"/>
  <c r="AF154" i="2"/>
  <c r="AF152" i="2"/>
  <c r="AF151" i="2"/>
  <c r="AF149" i="2"/>
  <c r="AF148" i="2"/>
  <c r="AF147" i="2"/>
  <c r="AF145" i="2"/>
  <c r="AF144" i="2"/>
  <c r="AF142" i="2"/>
  <c r="AF141" i="2"/>
  <c r="AF140" i="2"/>
  <c r="AF139" i="2"/>
  <c r="AC162" i="2"/>
  <c r="AC161" i="2"/>
  <c r="AC159" i="2"/>
  <c r="AC158" i="2"/>
  <c r="AC156" i="2"/>
  <c r="AC155" i="2"/>
  <c r="AC154" i="2"/>
  <c r="AC152" i="2"/>
  <c r="AC151" i="2"/>
  <c r="AC149" i="2"/>
  <c r="AC148" i="2"/>
  <c r="AC147" i="2"/>
  <c r="AC145" i="2"/>
  <c r="AC144" i="2"/>
  <c r="AC142" i="2"/>
  <c r="AC141" i="2"/>
  <c r="AC140" i="2"/>
  <c r="AC139" i="2"/>
  <c r="Z162" i="2"/>
  <c r="Z161" i="2"/>
  <c r="Z159" i="2"/>
  <c r="Z158" i="2"/>
  <c r="Z156" i="2"/>
  <c r="Z155" i="2"/>
  <c r="Z154" i="2"/>
  <c r="Z152" i="2"/>
  <c r="Z151" i="2"/>
  <c r="Z149" i="2"/>
  <c r="Z148" i="2"/>
  <c r="Z147" i="2"/>
  <c r="Z145" i="2"/>
  <c r="Z144" i="2"/>
  <c r="Z142" i="2"/>
  <c r="Z141" i="2"/>
  <c r="Z140" i="2"/>
  <c r="Z139" i="2"/>
  <c r="W162" i="2"/>
  <c r="W161" i="2"/>
  <c r="W159" i="2"/>
  <c r="W158" i="2"/>
  <c r="W156" i="2"/>
  <c r="W155" i="2"/>
  <c r="W154" i="2"/>
  <c r="W152" i="2"/>
  <c r="W151" i="2"/>
  <c r="W149" i="2"/>
  <c r="W148" i="2"/>
  <c r="W147" i="2"/>
  <c r="W145" i="2"/>
  <c r="W144" i="2"/>
  <c r="W142" i="2"/>
  <c r="W141" i="2"/>
  <c r="W140" i="2"/>
  <c r="W139" i="2"/>
  <c r="T162" i="2"/>
  <c r="T161" i="2"/>
  <c r="T159" i="2"/>
  <c r="T158" i="2"/>
  <c r="T156" i="2"/>
  <c r="T155" i="2"/>
  <c r="T154" i="2"/>
  <c r="T152" i="2"/>
  <c r="T151" i="2"/>
  <c r="T149" i="2"/>
  <c r="T148" i="2"/>
  <c r="T147" i="2"/>
  <c r="T145" i="2"/>
  <c r="T144" i="2"/>
  <c r="T142" i="2"/>
  <c r="T141" i="2"/>
  <c r="T140" i="2"/>
  <c r="T139" i="2"/>
  <c r="Q162" i="2"/>
  <c r="Q161" i="2"/>
  <c r="Q159" i="2"/>
  <c r="Q158" i="2"/>
  <c r="Q156" i="2"/>
  <c r="Q155" i="2"/>
  <c r="Q154" i="2"/>
  <c r="Q152" i="2"/>
  <c r="Q151" i="2"/>
  <c r="Q149" i="2"/>
  <c r="Q148" i="2"/>
  <c r="Q147" i="2"/>
  <c r="Q145" i="2"/>
  <c r="Q144" i="2"/>
  <c r="Q142" i="2"/>
  <c r="Q141" i="2"/>
  <c r="Q140" i="2"/>
  <c r="Q139" i="2"/>
  <c r="N162" i="2"/>
  <c r="N161" i="2"/>
  <c r="N159" i="2"/>
  <c r="N158" i="2"/>
  <c r="N156" i="2"/>
  <c r="N155" i="2"/>
  <c r="N154" i="2"/>
  <c r="N152" i="2"/>
  <c r="N151" i="2"/>
  <c r="N149" i="2"/>
  <c r="N148" i="2"/>
  <c r="N147" i="2"/>
  <c r="N145" i="2"/>
  <c r="N144" i="2"/>
  <c r="N142" i="2"/>
  <c r="N141" i="2"/>
  <c r="N140" i="2"/>
  <c r="N139" i="2"/>
  <c r="K162" i="2"/>
  <c r="K161" i="2"/>
  <c r="K159" i="2"/>
  <c r="K158" i="2"/>
  <c r="K156" i="2"/>
  <c r="K155" i="2"/>
  <c r="K154" i="2"/>
  <c r="K152" i="2"/>
  <c r="K151" i="2"/>
  <c r="K149" i="2"/>
  <c r="K148" i="2"/>
  <c r="K147" i="2"/>
  <c r="K145" i="2"/>
  <c r="K144" i="2"/>
  <c r="K142" i="2"/>
  <c r="K141" i="2"/>
  <c r="K140" i="2"/>
  <c r="K139" i="2"/>
  <c r="K133" i="2"/>
  <c r="K132" i="2"/>
  <c r="AO171" i="2"/>
  <c r="AN171" i="2"/>
  <c r="AK171" i="2"/>
  <c r="AJ171" i="2"/>
  <c r="AH171" i="2"/>
  <c r="AG171" i="2"/>
  <c r="AB171" i="2"/>
  <c r="AA171" i="2"/>
  <c r="Y171" i="2"/>
  <c r="X171" i="2"/>
  <c r="V171" i="2"/>
  <c r="U171" i="2"/>
  <c r="S171" i="2"/>
  <c r="R171" i="2"/>
  <c r="P171" i="2"/>
  <c r="O171" i="2"/>
  <c r="M171" i="2"/>
  <c r="L171" i="2"/>
  <c r="J171" i="2"/>
  <c r="I171" i="2"/>
  <c r="AO166" i="2"/>
  <c r="AN166" i="2"/>
  <c r="AK166" i="2"/>
  <c r="AJ166" i="2"/>
  <c r="AH166" i="2"/>
  <c r="AG166" i="2"/>
  <c r="AB166" i="2"/>
  <c r="AA166" i="2"/>
  <c r="Y166" i="2"/>
  <c r="X166" i="2"/>
  <c r="V166" i="2"/>
  <c r="U166" i="2"/>
  <c r="S166" i="2"/>
  <c r="R166" i="2"/>
  <c r="P166" i="2"/>
  <c r="O166" i="2"/>
  <c r="M166" i="2"/>
  <c r="L166" i="2"/>
  <c r="J166" i="2"/>
  <c r="I166" i="2"/>
  <c r="AO163" i="2"/>
  <c r="Q11" i="3" s="1"/>
  <c r="AN163" i="2"/>
  <c r="P11" i="3" s="1"/>
  <c r="AK163" i="2"/>
  <c r="N11" i="3" s="1"/>
  <c r="AJ163" i="2"/>
  <c r="M11" i="3" s="1"/>
  <c r="AH163" i="2"/>
  <c r="K11" i="3" s="1"/>
  <c r="AG163" i="2"/>
  <c r="J11" i="3" s="1"/>
  <c r="AE163" i="2"/>
  <c r="H11" i="3" s="1"/>
  <c r="AD163" i="2"/>
  <c r="G11" i="3" s="1"/>
  <c r="AB163" i="2"/>
  <c r="AA163" i="2"/>
  <c r="Y163" i="2"/>
  <c r="X163" i="2"/>
  <c r="V163" i="2"/>
  <c r="U163" i="2"/>
  <c r="S163" i="2"/>
  <c r="R163" i="2"/>
  <c r="P163" i="2"/>
  <c r="O163" i="2"/>
  <c r="M163" i="2"/>
  <c r="L163" i="2"/>
  <c r="J163" i="2"/>
  <c r="I163" i="2"/>
  <c r="AO160" i="2"/>
  <c r="AN160" i="2"/>
  <c r="AK160" i="2"/>
  <c r="AJ160" i="2"/>
  <c r="AH160" i="2"/>
  <c r="AG160" i="2"/>
  <c r="AB160" i="2"/>
  <c r="AA160" i="2"/>
  <c r="Y160" i="2"/>
  <c r="X160" i="2"/>
  <c r="V160" i="2"/>
  <c r="U160" i="2"/>
  <c r="S160" i="2"/>
  <c r="R160" i="2"/>
  <c r="P160" i="2"/>
  <c r="O160" i="2"/>
  <c r="M160" i="2"/>
  <c r="L160" i="2"/>
  <c r="J160" i="2"/>
  <c r="I160" i="2"/>
  <c r="AO157" i="2"/>
  <c r="AN157" i="2"/>
  <c r="AK157" i="2"/>
  <c r="AJ157" i="2"/>
  <c r="AH157" i="2"/>
  <c r="AG157" i="2"/>
  <c r="AB157" i="2"/>
  <c r="AA157" i="2"/>
  <c r="Y157" i="2"/>
  <c r="X157" i="2"/>
  <c r="V157" i="2"/>
  <c r="U157" i="2"/>
  <c r="S157" i="2"/>
  <c r="R157" i="2"/>
  <c r="P157" i="2"/>
  <c r="O157" i="2"/>
  <c r="M157" i="2"/>
  <c r="L157" i="2"/>
  <c r="J157" i="2"/>
  <c r="I157" i="2"/>
  <c r="AO153" i="2"/>
  <c r="AN153" i="2"/>
  <c r="AK153" i="2"/>
  <c r="AJ153" i="2"/>
  <c r="AH153" i="2"/>
  <c r="AG153" i="2"/>
  <c r="AB153" i="2"/>
  <c r="AA153" i="2"/>
  <c r="Y153" i="2"/>
  <c r="X153" i="2"/>
  <c r="V153" i="2"/>
  <c r="U153" i="2"/>
  <c r="S153" i="2"/>
  <c r="R153" i="2"/>
  <c r="P153" i="2"/>
  <c r="O153" i="2"/>
  <c r="M153" i="2"/>
  <c r="L153" i="2"/>
  <c r="J153" i="2"/>
  <c r="I153" i="2"/>
  <c r="AO150" i="2"/>
  <c r="AN150" i="2"/>
  <c r="AK150" i="2"/>
  <c r="AJ150" i="2"/>
  <c r="AH150" i="2"/>
  <c r="AG150" i="2"/>
  <c r="AB150" i="2"/>
  <c r="AA150" i="2"/>
  <c r="Y150" i="2"/>
  <c r="X150" i="2"/>
  <c r="V150" i="2"/>
  <c r="U150" i="2"/>
  <c r="S150" i="2"/>
  <c r="R150" i="2"/>
  <c r="P150" i="2"/>
  <c r="O150" i="2"/>
  <c r="M150" i="2"/>
  <c r="L150" i="2"/>
  <c r="J150" i="2"/>
  <c r="I150" i="2"/>
  <c r="I11" i="3" l="1"/>
  <c r="T11" i="3" s="1"/>
  <c r="L179" i="2"/>
  <c r="M179" i="2"/>
  <c r="O11" i="3"/>
  <c r="R11" i="3"/>
  <c r="L11" i="3"/>
  <c r="AG215" i="2"/>
  <c r="J19" i="3" s="1"/>
  <c r="AA215" i="2"/>
  <c r="AB215" i="2"/>
  <c r="AQ229" i="2"/>
  <c r="M215" i="2"/>
  <c r="AO215" i="2"/>
  <c r="Q19" i="3" s="1"/>
  <c r="V215" i="2"/>
  <c r="I215" i="2"/>
  <c r="AH215" i="2"/>
  <c r="K19" i="3" s="1"/>
  <c r="AJ215" i="2"/>
  <c r="M19" i="3" s="1"/>
  <c r="O215" i="2"/>
  <c r="AQ208" i="2"/>
  <c r="R215" i="2"/>
  <c r="L215" i="2"/>
  <c r="AK215" i="2"/>
  <c r="P215" i="2"/>
  <c r="AN215" i="2"/>
  <c r="P19" i="3" s="1"/>
  <c r="S215" i="2"/>
  <c r="U215" i="2"/>
  <c r="AQ209" i="2"/>
  <c r="AQ206" i="2"/>
  <c r="AQ213" i="2"/>
  <c r="AQ203" i="2"/>
  <c r="AQ202" i="2"/>
  <c r="AQ204" i="2"/>
  <c r="AQ205" i="2"/>
  <c r="AQ210" i="2"/>
  <c r="AQ211" i="2"/>
  <c r="AD212" i="2"/>
  <c r="AE212" i="2"/>
  <c r="AQ67" i="2"/>
  <c r="AC150" i="2"/>
  <c r="AQ93" i="2"/>
  <c r="Q150" i="2"/>
  <c r="AM150" i="2"/>
  <c r="AQ155" i="2"/>
  <c r="AQ85" i="2"/>
  <c r="T174" i="2"/>
  <c r="AP174" i="2"/>
  <c r="Z150" i="2"/>
  <c r="N153" i="2"/>
  <c r="AI153" i="2"/>
  <c r="T157" i="2"/>
  <c r="AP157" i="2"/>
  <c r="AQ63" i="2"/>
  <c r="AQ86" i="2"/>
  <c r="Q174" i="2"/>
  <c r="AQ110" i="2"/>
  <c r="AQ170" i="2"/>
  <c r="AM174" i="2"/>
  <c r="N166" i="2"/>
  <c r="AQ83" i="2"/>
  <c r="Z160" i="2"/>
  <c r="AI166" i="2"/>
  <c r="AP171" i="2"/>
  <c r="AQ81" i="2"/>
  <c r="AQ141" i="2"/>
  <c r="AP163" i="2"/>
  <c r="AQ107" i="2"/>
  <c r="O179" i="2"/>
  <c r="AM166" i="2"/>
  <c r="AQ142" i="2"/>
  <c r="AQ159" i="2"/>
  <c r="N150" i="2"/>
  <c r="AI150" i="2"/>
  <c r="T153" i="2"/>
  <c r="AP153" i="2"/>
  <c r="AQ169" i="2"/>
  <c r="T150" i="2"/>
  <c r="AP150" i="2"/>
  <c r="Z153" i="2"/>
  <c r="N157" i="2"/>
  <c r="AI157" i="2"/>
  <c r="T160" i="2"/>
  <c r="N174" i="2"/>
  <c r="AI174" i="2"/>
  <c r="AQ36" i="2"/>
  <c r="AP166" i="2"/>
  <c r="AP160" i="2"/>
  <c r="AQ95" i="2"/>
  <c r="Z163" i="2"/>
  <c r="AQ168" i="2"/>
  <c r="V179" i="2"/>
  <c r="AQ96" i="2"/>
  <c r="W150" i="2"/>
  <c r="AC153" i="2"/>
  <c r="Q157" i="2"/>
  <c r="AM157" i="2"/>
  <c r="W160" i="2"/>
  <c r="Z166" i="2"/>
  <c r="N171" i="2"/>
  <c r="AQ111" i="2"/>
  <c r="Y179" i="2"/>
  <c r="T163" i="2"/>
  <c r="AQ62" i="2"/>
  <c r="AQ112" i="2"/>
  <c r="AK179" i="2"/>
  <c r="N12" i="3" s="1"/>
  <c r="AQ156" i="2"/>
  <c r="AQ148" i="2"/>
  <c r="AQ35" i="2"/>
  <c r="AC163" i="2"/>
  <c r="AQ145" i="2"/>
  <c r="Q153" i="2"/>
  <c r="AM153" i="2"/>
  <c r="W157" i="2"/>
  <c r="AC160" i="2"/>
  <c r="W166" i="2"/>
  <c r="K171" i="2"/>
  <c r="AC171" i="2"/>
  <c r="AQ147" i="2"/>
  <c r="AQ177" i="2"/>
  <c r="AQ31" i="2"/>
  <c r="AQ108" i="2"/>
  <c r="X179" i="2"/>
  <c r="Z157" i="2"/>
  <c r="N160" i="2"/>
  <c r="AI160" i="2"/>
  <c r="AI171" i="2"/>
  <c r="AQ178" i="2"/>
  <c r="AQ75" i="2"/>
  <c r="W153" i="2"/>
  <c r="AC157" i="2"/>
  <c r="Q160" i="2"/>
  <c r="AM160" i="2"/>
  <c r="AD166" i="2"/>
  <c r="AC166" i="2"/>
  <c r="Q171" i="2"/>
  <c r="AM171" i="2"/>
  <c r="J179" i="2"/>
  <c r="AB179" i="2"/>
  <c r="Z174" i="2"/>
  <c r="AQ72" i="2"/>
  <c r="AQ65" i="2"/>
  <c r="AQ88" i="2"/>
  <c r="AQ49" i="2"/>
  <c r="AQ105" i="2"/>
  <c r="AH179" i="2"/>
  <c r="K12" i="3" s="1"/>
  <c r="AQ37" i="2"/>
  <c r="AQ43" i="2"/>
  <c r="AQ38" i="2"/>
  <c r="AQ158" i="2"/>
  <c r="AQ39" i="2"/>
  <c r="AQ41" i="2"/>
  <c r="P179" i="2"/>
  <c r="AN179" i="2"/>
  <c r="P12" i="3" s="1"/>
  <c r="AQ30" i="2"/>
  <c r="AQ42" i="2"/>
  <c r="AQ45" i="2"/>
  <c r="AQ140" i="2"/>
  <c r="AQ152" i="2"/>
  <c r="AQ60" i="2"/>
  <c r="AE171" i="2"/>
  <c r="AA179" i="2"/>
  <c r="AQ61" i="2"/>
  <c r="AQ154" i="2"/>
  <c r="AO179" i="2"/>
  <c r="Q12" i="3" s="1"/>
  <c r="AQ50" i="2"/>
  <c r="AQ162" i="2"/>
  <c r="Q163" i="2"/>
  <c r="Q166" i="2"/>
  <c r="W171" i="2"/>
  <c r="AQ109" i="2"/>
  <c r="N163" i="2"/>
  <c r="T166" i="2"/>
  <c r="Z171" i="2"/>
  <c r="AQ144" i="2"/>
  <c r="R179" i="2"/>
  <c r="AE166" i="2"/>
  <c r="W163" i="2"/>
  <c r="W174" i="2"/>
  <c r="AQ176" i="2"/>
  <c r="S179" i="2"/>
  <c r="AQ99" i="2"/>
  <c r="AQ51" i="2"/>
  <c r="AD171" i="2"/>
  <c r="AQ172" i="2"/>
  <c r="AQ52" i="2"/>
  <c r="AQ73" i="2"/>
  <c r="U179" i="2"/>
  <c r="AG179" i="2"/>
  <c r="J12" i="3" s="1"/>
  <c r="AQ91" i="2"/>
  <c r="AQ53" i="2"/>
  <c r="AJ179" i="2"/>
  <c r="M12" i="3" s="1"/>
  <c r="K163" i="2"/>
  <c r="AQ175" i="2"/>
  <c r="AQ84" i="2"/>
  <c r="AQ87" i="2"/>
  <c r="AQ149" i="2"/>
  <c r="AQ161" i="2"/>
  <c r="I179" i="2"/>
  <c r="AC174" i="2"/>
  <c r="AQ46" i="2"/>
  <c r="AQ103" i="2"/>
  <c r="AQ104" i="2"/>
  <c r="AQ100" i="2"/>
  <c r="AQ94" i="2"/>
  <c r="AQ80" i="2"/>
  <c r="AQ71" i="2"/>
  <c r="AQ44" i="2"/>
  <c r="AQ66" i="2"/>
  <c r="AQ98" i="2"/>
  <c r="AQ68" i="2"/>
  <c r="AQ77" i="2"/>
  <c r="AQ89" i="2"/>
  <c r="AQ101" i="2"/>
  <c r="AQ69" i="2"/>
  <c r="AQ78" i="2"/>
  <c r="AQ54" i="2"/>
  <c r="AQ47" i="2"/>
  <c r="AQ55" i="2"/>
  <c r="AQ57" i="2"/>
  <c r="AQ58" i="2"/>
  <c r="AQ59" i="2"/>
  <c r="AQ70" i="2"/>
  <c r="AQ79" i="2"/>
  <c r="AQ90" i="2"/>
  <c r="AQ106" i="2"/>
  <c r="AQ173" i="2"/>
  <c r="AQ167" i="2"/>
  <c r="AE174" i="2"/>
  <c r="K174" i="2"/>
  <c r="AD174" i="2"/>
  <c r="AQ139" i="2"/>
  <c r="AM163" i="2"/>
  <c r="AI163" i="2"/>
  <c r="AQ151" i="2"/>
  <c r="AF163" i="2"/>
  <c r="T171" i="2"/>
  <c r="K166" i="2"/>
  <c r="R12" i="3" l="1"/>
  <c r="O12" i="3"/>
  <c r="L12" i="3"/>
  <c r="R19" i="3"/>
  <c r="L19" i="3"/>
  <c r="S11" i="3"/>
  <c r="Q179" i="2"/>
  <c r="AP179" i="2"/>
  <c r="AM179" i="2"/>
  <c r="N179" i="2"/>
  <c r="AI179" i="2"/>
  <c r="AF166" i="2"/>
  <c r="AQ166" i="2" s="1"/>
  <c r="T179" i="2"/>
  <c r="AF171" i="2"/>
  <c r="AQ171" i="2" s="1"/>
  <c r="W179" i="2"/>
  <c r="AC179" i="2"/>
  <c r="AD179" i="2"/>
  <c r="G12" i="3" s="1"/>
  <c r="AF174" i="2"/>
  <c r="AQ174" i="2" s="1"/>
  <c r="Z179" i="2"/>
  <c r="K179" i="2"/>
  <c r="AE179" i="2"/>
  <c r="H12" i="3" s="1"/>
  <c r="AQ163" i="2"/>
  <c r="I12" i="3" l="1"/>
  <c r="T12" i="3" s="1"/>
  <c r="AQ179" i="2"/>
  <c r="AF179" i="2"/>
  <c r="S12" i="3" l="1"/>
  <c r="AO146" i="2"/>
  <c r="AN146" i="2"/>
  <c r="AK146" i="2"/>
  <c r="N21" i="3" s="1"/>
  <c r="AJ146" i="2"/>
  <c r="AH146" i="2"/>
  <c r="AG146" i="2"/>
  <c r="AB146" i="2"/>
  <c r="AA146" i="2"/>
  <c r="Y146" i="2"/>
  <c r="X146" i="2"/>
  <c r="V146" i="2"/>
  <c r="U146" i="2"/>
  <c r="S146" i="2"/>
  <c r="R146" i="2"/>
  <c r="P146" i="2"/>
  <c r="O146" i="2"/>
  <c r="M146" i="2"/>
  <c r="L146" i="2"/>
  <c r="J146" i="2"/>
  <c r="I146" i="2"/>
  <c r="AO143" i="2"/>
  <c r="AN143" i="2"/>
  <c r="AK143" i="2"/>
  <c r="N18" i="3" s="1"/>
  <c r="AJ143" i="2"/>
  <c r="AH143" i="2"/>
  <c r="AG143" i="2"/>
  <c r="AB143" i="2"/>
  <c r="AA143" i="2"/>
  <c r="Y143" i="2"/>
  <c r="X143" i="2"/>
  <c r="V143" i="2"/>
  <c r="U143" i="2"/>
  <c r="S143" i="2"/>
  <c r="R143" i="2"/>
  <c r="P143" i="2"/>
  <c r="O143" i="2"/>
  <c r="M143" i="2"/>
  <c r="L143" i="2"/>
  <c r="J143" i="2"/>
  <c r="I143" i="2"/>
  <c r="AO138" i="2"/>
  <c r="AN138" i="2"/>
  <c r="AK138" i="2"/>
  <c r="AJ138" i="2"/>
  <c r="AH138" i="2"/>
  <c r="AG138" i="2"/>
  <c r="AB138" i="2"/>
  <c r="AA138" i="2"/>
  <c r="Y138" i="2"/>
  <c r="X138" i="2"/>
  <c r="V138" i="2"/>
  <c r="U138" i="2"/>
  <c r="S138" i="2"/>
  <c r="R138" i="2"/>
  <c r="P138" i="2"/>
  <c r="O138" i="2"/>
  <c r="M138" i="2"/>
  <c r="L138" i="2"/>
  <c r="J138" i="2"/>
  <c r="I138" i="2"/>
  <c r="AO126" i="2"/>
  <c r="AN126" i="2"/>
  <c r="AK126" i="2"/>
  <c r="AJ126" i="2"/>
  <c r="AH126" i="2"/>
  <c r="AG126" i="2"/>
  <c r="AB126" i="2"/>
  <c r="AA126" i="2"/>
  <c r="Y126" i="2"/>
  <c r="X126" i="2"/>
  <c r="V126" i="2"/>
  <c r="U126" i="2"/>
  <c r="S126" i="2"/>
  <c r="R126" i="2"/>
  <c r="P126" i="2"/>
  <c r="O126" i="2"/>
  <c r="M126" i="2"/>
  <c r="L126" i="2"/>
  <c r="J126" i="2"/>
  <c r="I126" i="2"/>
  <c r="AO121" i="2"/>
  <c r="AN121" i="2"/>
  <c r="AK121" i="2"/>
  <c r="AJ121" i="2"/>
  <c r="AH121" i="2"/>
  <c r="AG121" i="2"/>
  <c r="AB121" i="2"/>
  <c r="AA121" i="2"/>
  <c r="Y121" i="2"/>
  <c r="X121" i="2"/>
  <c r="V121" i="2"/>
  <c r="U121" i="2"/>
  <c r="S121" i="2"/>
  <c r="R121" i="2"/>
  <c r="P121" i="2"/>
  <c r="O121" i="2"/>
  <c r="M121" i="2"/>
  <c r="L121" i="2"/>
  <c r="J121" i="2"/>
  <c r="I121" i="2"/>
  <c r="AO102" i="2"/>
  <c r="AN102" i="2"/>
  <c r="AK102" i="2"/>
  <c r="AJ102" i="2"/>
  <c r="AH102" i="2"/>
  <c r="AG102" i="2"/>
  <c r="AB102" i="2"/>
  <c r="AA102" i="2"/>
  <c r="Y102" i="2"/>
  <c r="X102" i="2"/>
  <c r="V102" i="2"/>
  <c r="U102" i="2"/>
  <c r="S102" i="2"/>
  <c r="R102" i="2"/>
  <c r="P102" i="2"/>
  <c r="O102" i="2"/>
  <c r="M102" i="2"/>
  <c r="L102" i="2"/>
  <c r="J102" i="2"/>
  <c r="I102" i="2"/>
  <c r="AO97" i="2"/>
  <c r="AN97" i="2"/>
  <c r="AK97" i="2"/>
  <c r="AJ97" i="2"/>
  <c r="AH97" i="2"/>
  <c r="AG97" i="2"/>
  <c r="AB97" i="2"/>
  <c r="AA97" i="2"/>
  <c r="Y97" i="2"/>
  <c r="X97" i="2"/>
  <c r="V97" i="2"/>
  <c r="U97" i="2"/>
  <c r="S97" i="2"/>
  <c r="R97" i="2"/>
  <c r="P97" i="2"/>
  <c r="O97" i="2"/>
  <c r="M97" i="2"/>
  <c r="L97" i="2"/>
  <c r="J97" i="2"/>
  <c r="I97" i="2"/>
  <c r="AO92" i="2"/>
  <c r="AN92" i="2"/>
  <c r="AK92" i="2"/>
  <c r="AJ92" i="2"/>
  <c r="AH92" i="2"/>
  <c r="AG92" i="2"/>
  <c r="AB92" i="2"/>
  <c r="AA92" i="2"/>
  <c r="Y92" i="2"/>
  <c r="X92" i="2"/>
  <c r="V92" i="2"/>
  <c r="U92" i="2"/>
  <c r="S92" i="2"/>
  <c r="R92" i="2"/>
  <c r="P92" i="2"/>
  <c r="O92" i="2"/>
  <c r="M92" i="2"/>
  <c r="L92" i="2"/>
  <c r="J92" i="2"/>
  <c r="I92" i="2"/>
  <c r="AO82" i="2"/>
  <c r="AN82" i="2"/>
  <c r="AK82" i="2"/>
  <c r="AJ82" i="2"/>
  <c r="AH82" i="2"/>
  <c r="AG82" i="2"/>
  <c r="AB82" i="2"/>
  <c r="AA82" i="2"/>
  <c r="Y82" i="2"/>
  <c r="X82" i="2"/>
  <c r="V82" i="2"/>
  <c r="U82" i="2"/>
  <c r="S82" i="2"/>
  <c r="R82" i="2"/>
  <c r="P82" i="2"/>
  <c r="O82" i="2"/>
  <c r="M82" i="2"/>
  <c r="L82" i="2"/>
  <c r="J82" i="2"/>
  <c r="I82" i="2"/>
  <c r="Q82" i="2" l="1"/>
  <c r="AI82" i="2"/>
  <c r="W92" i="2"/>
  <c r="K97" i="2"/>
  <c r="AC97" i="2"/>
  <c r="N82" i="2"/>
  <c r="AP92" i="2"/>
  <c r="Z97" i="2"/>
  <c r="AI102" i="2"/>
  <c r="AC82" i="2"/>
  <c r="Q92" i="2"/>
  <c r="W97" i="2"/>
  <c r="K82" i="2"/>
  <c r="W143" i="2"/>
  <c r="T143" i="2"/>
  <c r="AP143" i="2"/>
  <c r="T82" i="2"/>
  <c r="AP82" i="2"/>
  <c r="N97" i="2"/>
  <c r="AI97" i="2"/>
  <c r="T102" i="2"/>
  <c r="Z92" i="2"/>
  <c r="AP102" i="2"/>
  <c r="Z143" i="2"/>
  <c r="N146" i="2"/>
  <c r="K102" i="2"/>
  <c r="AC102" i="2"/>
  <c r="Q143" i="2"/>
  <c r="AM143" i="2"/>
  <c r="W146" i="2"/>
  <c r="AC146" i="2"/>
  <c r="Z82" i="2"/>
  <c r="N92" i="2"/>
  <c r="T97" i="2"/>
  <c r="AP97" i="2"/>
  <c r="Z102" i="2"/>
  <c r="Z146" i="2"/>
  <c r="AI92" i="2"/>
  <c r="N143" i="2"/>
  <c r="AI143" i="2"/>
  <c r="T146" i="2"/>
  <c r="AP146" i="2"/>
  <c r="AI146" i="2"/>
  <c r="W82" i="2"/>
  <c r="K92" i="2"/>
  <c r="Q97" i="2"/>
  <c r="W102" i="2"/>
  <c r="AC143" i="2"/>
  <c r="Q146" i="2"/>
  <c r="AM146" i="2"/>
  <c r="K150" i="2"/>
  <c r="K153" i="2"/>
  <c r="Q138" i="2"/>
  <c r="AI138" i="2"/>
  <c r="W138" i="2"/>
  <c r="Q102" i="2"/>
  <c r="AM102" i="2"/>
  <c r="AC92" i="2"/>
  <c r="N102" i="2"/>
  <c r="AE102" i="2"/>
  <c r="AD102" i="2"/>
  <c r="AM97" i="2"/>
  <c r="AM92" i="2"/>
  <c r="T92" i="2"/>
  <c r="AE97" i="2"/>
  <c r="AD97" i="2"/>
  <c r="AE92" i="2"/>
  <c r="AD92" i="2"/>
  <c r="AM138" i="2" l="1"/>
  <c r="AD153" i="2"/>
  <c r="AP138" i="2"/>
  <c r="AE153" i="2"/>
  <c r="AD150" i="2"/>
  <c r="AF102" i="2"/>
  <c r="AQ102" i="2" s="1"/>
  <c r="AF97" i="2"/>
  <c r="AQ97" i="2" s="1"/>
  <c r="AF92" i="2"/>
  <c r="AQ92" i="2" s="1"/>
  <c r="AF153" i="2" l="1"/>
  <c r="AQ153" i="2" s="1"/>
  <c r="AE150" i="2"/>
  <c r="K146" i="2"/>
  <c r="AD146" i="2"/>
  <c r="AC138" i="2"/>
  <c r="AF150" i="2" l="1"/>
  <c r="AQ150" i="2" s="1"/>
  <c r="AE146" i="2"/>
  <c r="N138" i="2"/>
  <c r="Z138" i="2"/>
  <c r="K143" i="2"/>
  <c r="AD143" i="2"/>
  <c r="AF146" i="2" l="1"/>
  <c r="AQ146" i="2" s="1"/>
  <c r="AE143" i="2"/>
  <c r="AF143" i="2" s="1"/>
  <c r="K138" i="2"/>
  <c r="AD138" i="2"/>
  <c r="AQ143" i="2" l="1"/>
  <c r="T138" i="2"/>
  <c r="AE138" i="2"/>
  <c r="AF138" i="2" s="1"/>
  <c r="AQ138" i="2" s="1"/>
  <c r="AM82" i="2" l="1"/>
  <c r="AE82" i="2"/>
  <c r="AD82" i="2"/>
  <c r="I76" i="2"/>
  <c r="AO76" i="2"/>
  <c r="AN76" i="2"/>
  <c r="AK76" i="2"/>
  <c r="AJ76" i="2"/>
  <c r="AH76" i="2"/>
  <c r="AG76" i="2"/>
  <c r="AB76" i="2"/>
  <c r="AA76" i="2"/>
  <c r="Y76" i="2"/>
  <c r="X76" i="2"/>
  <c r="V76" i="2"/>
  <c r="U76" i="2"/>
  <c r="S76" i="2"/>
  <c r="R76" i="2"/>
  <c r="P76" i="2"/>
  <c r="O76" i="2"/>
  <c r="M76" i="2"/>
  <c r="L76" i="2"/>
  <c r="J76" i="2"/>
  <c r="AO64" i="2"/>
  <c r="AN64" i="2"/>
  <c r="AK64" i="2"/>
  <c r="AJ64" i="2"/>
  <c r="AH64" i="2"/>
  <c r="AG64" i="2"/>
  <c r="AB64" i="2"/>
  <c r="AA64" i="2"/>
  <c r="Y64" i="2"/>
  <c r="X64" i="2"/>
  <c r="V64" i="2"/>
  <c r="U64" i="2"/>
  <c r="S64" i="2"/>
  <c r="R64" i="2"/>
  <c r="P64" i="2"/>
  <c r="O64" i="2"/>
  <c r="M64" i="2"/>
  <c r="L64" i="2"/>
  <c r="J64" i="2"/>
  <c r="I64" i="2"/>
  <c r="AO56" i="2"/>
  <c r="AN56" i="2"/>
  <c r="AK56" i="2"/>
  <c r="AJ56" i="2"/>
  <c r="AH56" i="2"/>
  <c r="AG56" i="2"/>
  <c r="AB56" i="2"/>
  <c r="AA56" i="2"/>
  <c r="Y56" i="2"/>
  <c r="X56" i="2"/>
  <c r="V56" i="2"/>
  <c r="U56" i="2"/>
  <c r="S56" i="2"/>
  <c r="R56" i="2"/>
  <c r="P56" i="2"/>
  <c r="O56" i="2"/>
  <c r="M56" i="2"/>
  <c r="L56" i="2"/>
  <c r="J56" i="2"/>
  <c r="I56" i="2"/>
  <c r="AO48" i="2"/>
  <c r="AN48" i="2"/>
  <c r="AK48" i="2"/>
  <c r="AJ48" i="2"/>
  <c r="AH48" i="2"/>
  <c r="AG48" i="2"/>
  <c r="AB48" i="2"/>
  <c r="AA48" i="2"/>
  <c r="Y48" i="2"/>
  <c r="X48" i="2"/>
  <c r="V48" i="2"/>
  <c r="U48" i="2"/>
  <c r="S48" i="2"/>
  <c r="R48" i="2"/>
  <c r="P48" i="2"/>
  <c r="O48" i="2"/>
  <c r="M48" i="2"/>
  <c r="L48" i="2"/>
  <c r="J48" i="2"/>
  <c r="I48" i="2"/>
  <c r="AO40" i="2"/>
  <c r="AN40" i="2"/>
  <c r="AK40" i="2"/>
  <c r="AJ40" i="2"/>
  <c r="AH40" i="2"/>
  <c r="AG40" i="2"/>
  <c r="AB40" i="2"/>
  <c r="AA40" i="2"/>
  <c r="Y40" i="2"/>
  <c r="X40" i="2"/>
  <c r="V40" i="2"/>
  <c r="U40" i="2"/>
  <c r="S40" i="2"/>
  <c r="R40" i="2"/>
  <c r="P40" i="2"/>
  <c r="O40" i="2"/>
  <c r="M40" i="2"/>
  <c r="L40" i="2"/>
  <c r="J40" i="2"/>
  <c r="I40" i="2"/>
  <c r="AO32" i="2"/>
  <c r="AN32" i="2"/>
  <c r="AK32" i="2"/>
  <c r="AJ32" i="2"/>
  <c r="AH32" i="2"/>
  <c r="AB32" i="2"/>
  <c r="AA32" i="2"/>
  <c r="Y32" i="2"/>
  <c r="X32" i="2"/>
  <c r="V32" i="2"/>
  <c r="U32" i="2"/>
  <c r="S32" i="2"/>
  <c r="R32" i="2"/>
  <c r="P32" i="2"/>
  <c r="O32" i="2"/>
  <c r="M32" i="2"/>
  <c r="L32" i="2"/>
  <c r="J32" i="2"/>
  <c r="I32" i="2"/>
  <c r="AO24" i="2"/>
  <c r="AN24" i="2"/>
  <c r="AK24" i="2"/>
  <c r="AJ24" i="2"/>
  <c r="J24" i="2"/>
  <c r="I24" i="2"/>
  <c r="AN16" i="2"/>
  <c r="AK16" i="2"/>
  <c r="AJ16" i="2"/>
  <c r="AH16" i="2"/>
  <c r="AG16" i="2"/>
  <c r="AB16" i="2"/>
  <c r="AA16" i="2"/>
  <c r="Y16" i="2"/>
  <c r="X16" i="2"/>
  <c r="V16" i="2"/>
  <c r="U16" i="2"/>
  <c r="S16" i="2"/>
  <c r="R16" i="2"/>
  <c r="P16" i="2"/>
  <c r="O16" i="2"/>
  <c r="M16" i="2"/>
  <c r="L16" i="2"/>
  <c r="J16" i="2"/>
  <c r="I16" i="2"/>
  <c r="N76" i="2" l="1"/>
  <c r="AC76" i="2"/>
  <c r="T76" i="2"/>
  <c r="T48" i="2"/>
  <c r="AP48" i="2"/>
  <c r="Z56" i="2"/>
  <c r="N64" i="2"/>
  <c r="AM40" i="2"/>
  <c r="W48" i="2"/>
  <c r="AC56" i="2"/>
  <c r="AI76" i="2"/>
  <c r="AI48" i="2"/>
  <c r="T56" i="2"/>
  <c r="AP56" i="2"/>
  <c r="Q76" i="2"/>
  <c r="AC48" i="2"/>
  <c r="AP76" i="2"/>
  <c r="Q56" i="2"/>
  <c r="Q64" i="2"/>
  <c r="Z64" i="2"/>
  <c r="AI64" i="2"/>
  <c r="W76" i="2"/>
  <c r="W64" i="2"/>
  <c r="AC40" i="2"/>
  <c r="W56" i="2"/>
  <c r="K64" i="2"/>
  <c r="AC64" i="2"/>
  <c r="K76" i="2"/>
  <c r="Z76" i="2"/>
  <c r="T40" i="2"/>
  <c r="Z48" i="2"/>
  <c r="N56" i="2"/>
  <c r="T64" i="2"/>
  <c r="AP64" i="2"/>
  <c r="AF82" i="2"/>
  <c r="AQ82" i="2" s="1"/>
  <c r="AM76" i="2"/>
  <c r="AD76" i="2"/>
  <c r="AE76" i="2"/>
  <c r="AM64" i="2"/>
  <c r="AD64" i="2"/>
  <c r="AE64" i="2"/>
  <c r="AD56" i="2"/>
  <c r="AI56" i="2"/>
  <c r="AM56" i="2"/>
  <c r="AE56" i="2"/>
  <c r="K56" i="2"/>
  <c r="W40" i="2"/>
  <c r="AD48" i="2"/>
  <c r="N48" i="2"/>
  <c r="Q48" i="2"/>
  <c r="AM48" i="2"/>
  <c r="AE48" i="2"/>
  <c r="K48" i="2"/>
  <c r="Z40" i="2"/>
  <c r="AD40" i="2"/>
  <c r="AE40" i="2"/>
  <c r="N40" i="2"/>
  <c r="AI40" i="2"/>
  <c r="Q40" i="2"/>
  <c r="AP40" i="2"/>
  <c r="K40" i="2"/>
  <c r="AE16" i="2"/>
  <c r="AD16" i="2"/>
  <c r="AF76" i="2" l="1"/>
  <c r="AQ76" i="2" s="1"/>
  <c r="AF48" i="2"/>
  <c r="AQ48" i="2" s="1"/>
  <c r="AF64" i="2"/>
  <c r="AQ64" i="2" s="1"/>
  <c r="AF56" i="2"/>
  <c r="AQ56" i="2" s="1"/>
  <c r="AF40" i="2"/>
  <c r="AQ40" i="2" s="1"/>
  <c r="AP260" i="2" l="1"/>
  <c r="AG258" i="2"/>
  <c r="AI34" i="2"/>
  <c r="AP361" i="2"/>
  <c r="AM361" i="2"/>
  <c r="AI361" i="2"/>
  <c r="AE361" i="2"/>
  <c r="AP359" i="2"/>
  <c r="AM359" i="2"/>
  <c r="AI359" i="2"/>
  <c r="AD359" i="2"/>
  <c r="AE359" i="2"/>
  <c r="AD347" i="2"/>
  <c r="AD348" i="2"/>
  <c r="I11" i="2"/>
  <c r="I113" i="2" s="1"/>
  <c r="L11" i="2"/>
  <c r="L113" i="2" s="1"/>
  <c r="O11" i="2"/>
  <c r="O113" i="2" s="1"/>
  <c r="R11" i="2"/>
  <c r="U11" i="2"/>
  <c r="U113" i="2" s="1"/>
  <c r="X11" i="2"/>
  <c r="X113" i="2" s="1"/>
  <c r="AA11" i="2"/>
  <c r="AA113" i="2" s="1"/>
  <c r="AN568" i="2"/>
  <c r="AN582" i="2"/>
  <c r="AN576" i="2"/>
  <c r="AN573" i="2"/>
  <c r="AO568" i="2"/>
  <c r="AO582" i="2"/>
  <c r="AO576" i="2"/>
  <c r="AO573" i="2"/>
  <c r="AJ342" i="2"/>
  <c r="AJ349" i="2"/>
  <c r="AJ338" i="2"/>
  <c r="AJ335" i="2"/>
  <c r="AJ331" i="2"/>
  <c r="AK342" i="2"/>
  <c r="AK349" i="2"/>
  <c r="AK338" i="2"/>
  <c r="AK335" i="2"/>
  <c r="AK331" i="2"/>
  <c r="AK373" i="2"/>
  <c r="AK367" i="2"/>
  <c r="O19" i="3"/>
  <c r="O39" i="3"/>
  <c r="O42" i="3"/>
  <c r="N23" i="3"/>
  <c r="L42" i="3"/>
  <c r="I42" i="3"/>
  <c r="T42" i="3" s="1"/>
  <c r="L39" i="3"/>
  <c r="I39" i="3"/>
  <c r="L33" i="3"/>
  <c r="R33" i="3"/>
  <c r="AO224" i="2"/>
  <c r="AO231" i="2" s="1"/>
  <c r="Q20" i="3" s="1"/>
  <c r="AN224" i="2"/>
  <c r="AK224" i="2"/>
  <c r="AK231" i="2" s="1"/>
  <c r="AJ224" i="2"/>
  <c r="AJ231" i="2" s="1"/>
  <c r="M20" i="3" s="1"/>
  <c r="O20" i="3" s="1"/>
  <c r="AG224" i="2"/>
  <c r="AG231" i="2" s="1"/>
  <c r="J20" i="3" s="1"/>
  <c r="R266" i="2"/>
  <c r="AD269" i="2"/>
  <c r="AF269" i="2" s="1"/>
  <c r="AD268" i="2"/>
  <c r="AF268" i="2" s="1"/>
  <c r="AD267" i="2"/>
  <c r="AF267" i="2" s="1"/>
  <c r="AJ116" i="2"/>
  <c r="AK116" i="2"/>
  <c r="AJ129" i="2"/>
  <c r="AK129" i="2"/>
  <c r="AE117" i="2"/>
  <c r="AH117" i="2" s="1"/>
  <c r="AI117" i="2" s="1"/>
  <c r="AE118" i="2"/>
  <c r="AH118" i="2" s="1"/>
  <c r="AI118" i="2" s="1"/>
  <c r="AE119" i="2"/>
  <c r="AH129" i="2"/>
  <c r="I116" i="2"/>
  <c r="L116" i="2"/>
  <c r="O116" i="2"/>
  <c r="R116" i="2"/>
  <c r="U116" i="2"/>
  <c r="X116" i="2"/>
  <c r="AA116" i="2"/>
  <c r="J116" i="2"/>
  <c r="M116" i="2"/>
  <c r="P116" i="2"/>
  <c r="S116" i="2"/>
  <c r="V116" i="2"/>
  <c r="Y116" i="2"/>
  <c r="AB116" i="2"/>
  <c r="I129" i="2"/>
  <c r="L129" i="2"/>
  <c r="O129" i="2"/>
  <c r="R129" i="2"/>
  <c r="U129" i="2"/>
  <c r="X129" i="2"/>
  <c r="AA129" i="2"/>
  <c r="J129" i="2"/>
  <c r="M129" i="2"/>
  <c r="P129" i="2"/>
  <c r="S129" i="2"/>
  <c r="V129" i="2"/>
  <c r="Y129" i="2"/>
  <c r="AB129" i="2"/>
  <c r="AA294" i="2"/>
  <c r="AA289" i="2"/>
  <c r="AA303" i="2"/>
  <c r="AA308" i="2"/>
  <c r="AA320" i="2"/>
  <c r="AA325" i="2"/>
  <c r="AA342" i="2"/>
  <c r="AA349" i="2"/>
  <c r="AA338" i="2"/>
  <c r="AA335" i="2"/>
  <c r="AA331" i="2"/>
  <c r="AA373" i="2"/>
  <c r="AA367" i="2"/>
  <c r="AA568" i="2"/>
  <c r="AA582" i="2"/>
  <c r="AA576" i="2"/>
  <c r="AA573" i="2"/>
  <c r="AA254" i="2"/>
  <c r="AA258" i="2"/>
  <c r="AA266" i="2"/>
  <c r="AA270" i="2"/>
  <c r="AA276" i="2"/>
  <c r="AA246" i="2"/>
  <c r="AA239" i="2"/>
  <c r="AA234" i="2"/>
  <c r="AA224" i="2"/>
  <c r="AA188" i="2"/>
  <c r="Y11" i="2"/>
  <c r="Y113" i="2" s="1"/>
  <c r="Y342" i="2"/>
  <c r="Y349" i="2"/>
  <c r="Y338" i="2"/>
  <c r="Y335" i="2"/>
  <c r="Y331" i="2"/>
  <c r="Y373" i="2"/>
  <c r="Y367" i="2"/>
  <c r="Y294" i="2"/>
  <c r="Y289" i="2"/>
  <c r="Y303" i="2"/>
  <c r="Y308" i="2"/>
  <c r="Y320" i="2"/>
  <c r="Y325" i="2"/>
  <c r="Y568" i="2"/>
  <c r="Y582" i="2"/>
  <c r="Y576" i="2"/>
  <c r="Y573" i="2"/>
  <c r="Y254" i="2"/>
  <c r="Y258" i="2"/>
  <c r="Y266" i="2"/>
  <c r="Y270" i="2"/>
  <c r="Y276" i="2"/>
  <c r="Y246" i="2"/>
  <c r="Y239" i="2"/>
  <c r="Y234" i="2"/>
  <c r="Y224" i="2"/>
  <c r="Y231" i="2" s="1"/>
  <c r="Y188" i="2"/>
  <c r="AB342" i="2"/>
  <c r="AB349" i="2"/>
  <c r="AB338" i="2"/>
  <c r="AB335" i="2"/>
  <c r="AB331" i="2"/>
  <c r="AB373" i="2"/>
  <c r="AB367" i="2"/>
  <c r="AB294" i="2"/>
  <c r="AB289" i="2"/>
  <c r="AB303" i="2"/>
  <c r="AB308" i="2"/>
  <c r="AB320" i="2"/>
  <c r="AB325" i="2"/>
  <c r="AB568" i="2"/>
  <c r="AB582" i="2"/>
  <c r="AB576" i="2"/>
  <c r="AB573" i="2"/>
  <c r="AB254" i="2"/>
  <c r="AB258" i="2"/>
  <c r="AB266" i="2"/>
  <c r="AB270" i="2"/>
  <c r="AB276" i="2"/>
  <c r="AB246" i="2"/>
  <c r="AB239" i="2"/>
  <c r="AB234" i="2"/>
  <c r="AB224" i="2"/>
  <c r="AB231" i="2" s="1"/>
  <c r="AB188" i="2"/>
  <c r="AH11" i="2"/>
  <c r="AH113" i="2" s="1"/>
  <c r="K9" i="3" s="1"/>
  <c r="AJ11" i="2"/>
  <c r="AJ113" i="2" s="1"/>
  <c r="M9" i="3" s="1"/>
  <c r="AK11" i="2"/>
  <c r="AK113" i="2" s="1"/>
  <c r="N9" i="3" s="1"/>
  <c r="AM17" i="2"/>
  <c r="AO17" i="2" s="1"/>
  <c r="AM18" i="2"/>
  <c r="W16" i="2"/>
  <c r="AO11" i="2"/>
  <c r="S11" i="2"/>
  <c r="V11" i="2"/>
  <c r="V113" i="2" s="1"/>
  <c r="J11" i="2"/>
  <c r="J113" i="2" s="1"/>
  <c r="M11" i="2"/>
  <c r="M113" i="2" s="1"/>
  <c r="P11" i="2"/>
  <c r="P113" i="2" s="1"/>
  <c r="K28" i="2"/>
  <c r="K24" i="2" s="1"/>
  <c r="I568" i="2"/>
  <c r="L568" i="2"/>
  <c r="O568" i="2"/>
  <c r="R568" i="2"/>
  <c r="U568" i="2"/>
  <c r="X568" i="2"/>
  <c r="I582" i="2"/>
  <c r="L582" i="2"/>
  <c r="O582" i="2"/>
  <c r="R582" i="2"/>
  <c r="U582" i="2"/>
  <c r="X582" i="2"/>
  <c r="I576" i="2"/>
  <c r="L576" i="2"/>
  <c r="O576" i="2"/>
  <c r="R576" i="2"/>
  <c r="U576" i="2"/>
  <c r="X576" i="2"/>
  <c r="I573" i="2"/>
  <c r="L573" i="2"/>
  <c r="O573" i="2"/>
  <c r="R573" i="2"/>
  <c r="U573" i="2"/>
  <c r="X573" i="2"/>
  <c r="AE575" i="2"/>
  <c r="AE574" i="2"/>
  <c r="AD575" i="2"/>
  <c r="AD574" i="2"/>
  <c r="AI343" i="2"/>
  <c r="AI344" i="2"/>
  <c r="AI345" i="2"/>
  <c r="AI346" i="2"/>
  <c r="AI347" i="2"/>
  <c r="AI348" i="2"/>
  <c r="W346" i="2"/>
  <c r="W347" i="2"/>
  <c r="W348" i="2"/>
  <c r="AM298" i="2"/>
  <c r="Z298" i="2"/>
  <c r="Z297" i="2"/>
  <c r="Z296" i="2"/>
  <c r="Z295" i="2"/>
  <c r="AC298" i="2"/>
  <c r="AC297" i="2"/>
  <c r="AC296" i="2"/>
  <c r="AC295" i="2"/>
  <c r="AH289" i="2"/>
  <c r="AG289" i="2"/>
  <c r="AO289" i="2"/>
  <c r="AN289" i="2"/>
  <c r="X289" i="2"/>
  <c r="V289" i="2"/>
  <c r="U289" i="2"/>
  <c r="S289" i="2"/>
  <c r="R289" i="2"/>
  <c r="P289" i="2"/>
  <c r="O289" i="2"/>
  <c r="M289" i="2"/>
  <c r="L289" i="2"/>
  <c r="J289" i="2"/>
  <c r="I289" i="2"/>
  <c r="AD290" i="2"/>
  <c r="AE293" i="2"/>
  <c r="AE292" i="2"/>
  <c r="AE291" i="2"/>
  <c r="AE290" i="2"/>
  <c r="AD293" i="2"/>
  <c r="AD292" i="2"/>
  <c r="AD291" i="2"/>
  <c r="AM346" i="2"/>
  <c r="AM347" i="2"/>
  <c r="AM348" i="2"/>
  <c r="AP346" i="2"/>
  <c r="AP347" i="2"/>
  <c r="AP348" i="2"/>
  <c r="AK573" i="2"/>
  <c r="AJ573" i="2"/>
  <c r="AH573" i="2"/>
  <c r="AG573" i="2"/>
  <c r="V573" i="2"/>
  <c r="S573" i="2"/>
  <c r="P573" i="2"/>
  <c r="M573" i="2"/>
  <c r="J573" i="2"/>
  <c r="K340" i="2"/>
  <c r="K341" i="2"/>
  <c r="N339" i="2"/>
  <c r="N340" i="2"/>
  <c r="N341" i="2"/>
  <c r="Q339" i="2"/>
  <c r="Q340" i="2"/>
  <c r="Q341" i="2"/>
  <c r="K575" i="2"/>
  <c r="T575" i="2"/>
  <c r="W575" i="2"/>
  <c r="Z575" i="2"/>
  <c r="Z574" i="2"/>
  <c r="AI575" i="2"/>
  <c r="AM575" i="2"/>
  <c r="AP575" i="2"/>
  <c r="K581" i="2"/>
  <c r="K580" i="2"/>
  <c r="K579" i="2"/>
  <c r="K578" i="2"/>
  <c r="N581" i="2"/>
  <c r="N580" i="2"/>
  <c r="N579" i="2"/>
  <c r="N578" i="2"/>
  <c r="Q581" i="2"/>
  <c r="Q580" i="2"/>
  <c r="Q579" i="2"/>
  <c r="Q578" i="2"/>
  <c r="T581" i="2"/>
  <c r="T580" i="2"/>
  <c r="T579" i="2"/>
  <c r="T578" i="2"/>
  <c r="W581" i="2"/>
  <c r="W580" i="2"/>
  <c r="W579" i="2"/>
  <c r="Z581" i="2"/>
  <c r="Z580" i="2"/>
  <c r="Z579" i="2"/>
  <c r="Z578" i="2"/>
  <c r="Z577" i="2"/>
  <c r="AC581" i="2"/>
  <c r="AC580" i="2"/>
  <c r="AC579" i="2"/>
  <c r="AC578" i="2"/>
  <c r="AC577" i="2"/>
  <c r="AD583" i="2"/>
  <c r="AD581" i="2"/>
  <c r="AE581" i="2"/>
  <c r="AD580" i="2"/>
  <c r="AD579" i="2"/>
  <c r="AD578" i="2"/>
  <c r="AD577" i="2"/>
  <c r="AE583" i="2"/>
  <c r="AE580" i="2"/>
  <c r="AE579" i="2"/>
  <c r="AE578" i="2"/>
  <c r="AE577" i="2"/>
  <c r="AI581" i="2"/>
  <c r="AI580" i="2"/>
  <c r="AI579" i="2"/>
  <c r="AI578" i="2"/>
  <c r="AI577" i="2"/>
  <c r="AM581" i="2"/>
  <c r="AM580" i="2"/>
  <c r="AM579" i="2"/>
  <c r="AM578" i="2"/>
  <c r="AM577" i="2"/>
  <c r="AP581" i="2"/>
  <c r="AP580" i="2"/>
  <c r="AP579" i="2"/>
  <c r="AP578" i="2"/>
  <c r="AP577" i="2"/>
  <c r="AK576" i="2"/>
  <c r="AJ576" i="2"/>
  <c r="AH576" i="2"/>
  <c r="AG576" i="2"/>
  <c r="V576" i="2"/>
  <c r="S576" i="2"/>
  <c r="P576" i="2"/>
  <c r="M576" i="2"/>
  <c r="J576" i="2"/>
  <c r="AC583" i="2"/>
  <c r="Z583" i="2"/>
  <c r="K571" i="2"/>
  <c r="K570" i="2"/>
  <c r="K569" i="2"/>
  <c r="N571" i="2"/>
  <c r="N570" i="2"/>
  <c r="N569" i="2"/>
  <c r="Q571" i="2"/>
  <c r="Q570" i="2"/>
  <c r="Q569" i="2"/>
  <c r="T571" i="2"/>
  <c r="T570" i="2"/>
  <c r="T569" i="2"/>
  <c r="W571" i="2"/>
  <c r="W570" i="2"/>
  <c r="W569" i="2"/>
  <c r="Z571" i="2"/>
  <c r="Z570" i="2"/>
  <c r="Z569" i="2"/>
  <c r="AC571" i="2"/>
  <c r="AC570" i="2"/>
  <c r="AC569" i="2"/>
  <c r="AI571" i="2"/>
  <c r="AI570" i="2"/>
  <c r="AI569" i="2"/>
  <c r="AM571" i="2"/>
  <c r="AM570" i="2"/>
  <c r="AM569" i="2"/>
  <c r="AP571" i="2"/>
  <c r="AP570" i="2"/>
  <c r="AP569" i="2"/>
  <c r="AK568" i="2"/>
  <c r="AJ568" i="2"/>
  <c r="AH568" i="2"/>
  <c r="AG568" i="2"/>
  <c r="AE571" i="2"/>
  <c r="AE570" i="2"/>
  <c r="AE569" i="2"/>
  <c r="AD570" i="2"/>
  <c r="AD569" i="2"/>
  <c r="V568" i="2"/>
  <c r="S568" i="2"/>
  <c r="P568" i="2"/>
  <c r="M568" i="2"/>
  <c r="J568" i="2"/>
  <c r="Z398" i="2"/>
  <c r="Z395" i="2"/>
  <c r="Z393" i="2"/>
  <c r="Z392" i="2"/>
  <c r="Z386" i="2"/>
  <c r="AC398" i="2"/>
  <c r="AC395" i="2"/>
  <c r="AC393" i="2"/>
  <c r="AC392" i="2"/>
  <c r="AC386" i="2"/>
  <c r="Z384" i="2"/>
  <c r="Z374" i="2"/>
  <c r="AC384" i="2"/>
  <c r="AC374" i="2"/>
  <c r="X373" i="2"/>
  <c r="AE398" i="2"/>
  <c r="AE395" i="2"/>
  <c r="AE393" i="2"/>
  <c r="AE392" i="2"/>
  <c r="AE386" i="2"/>
  <c r="AE374" i="2"/>
  <c r="AD398" i="2"/>
  <c r="AD395" i="2"/>
  <c r="AD393" i="2"/>
  <c r="AD386" i="2"/>
  <c r="AD374" i="2"/>
  <c r="K372" i="2"/>
  <c r="K370" i="2"/>
  <c r="K369" i="2"/>
  <c r="K368" i="2"/>
  <c r="N372" i="2"/>
  <c r="N370" i="2"/>
  <c r="N369" i="2"/>
  <c r="N368" i="2"/>
  <c r="Q372" i="2"/>
  <c r="Q370" i="2"/>
  <c r="Q369" i="2"/>
  <c r="Q368" i="2"/>
  <c r="T372" i="2"/>
  <c r="T370" i="2"/>
  <c r="T369" i="2"/>
  <c r="T368" i="2"/>
  <c r="W372" i="2"/>
  <c r="W370" i="2"/>
  <c r="W369" i="2"/>
  <c r="W368" i="2"/>
  <c r="Z372" i="2"/>
  <c r="Z370" i="2"/>
  <c r="Z369" i="2"/>
  <c r="Z368" i="2"/>
  <c r="AC372" i="2"/>
  <c r="AC370" i="2"/>
  <c r="AC369" i="2"/>
  <c r="AC368" i="2"/>
  <c r="AE372" i="2"/>
  <c r="AE370" i="2"/>
  <c r="AE369" i="2"/>
  <c r="AE368" i="2"/>
  <c r="AD372" i="2"/>
  <c r="AD370" i="2"/>
  <c r="AD369" i="2"/>
  <c r="AD368" i="2"/>
  <c r="AI372" i="2"/>
  <c r="AI370" i="2"/>
  <c r="AI369" i="2"/>
  <c r="AI368" i="2"/>
  <c r="AM372" i="2"/>
  <c r="AM370" i="2"/>
  <c r="AM369" i="2"/>
  <c r="AM368" i="2"/>
  <c r="AP372" i="2"/>
  <c r="AP370" i="2"/>
  <c r="AP369" i="2"/>
  <c r="AP368" i="2"/>
  <c r="AO367" i="2"/>
  <c r="AN367" i="2"/>
  <c r="AJ367" i="2"/>
  <c r="AH367" i="2"/>
  <c r="AG367" i="2"/>
  <c r="X367" i="2"/>
  <c r="V367" i="2"/>
  <c r="U367" i="2"/>
  <c r="S367" i="2"/>
  <c r="R367" i="2"/>
  <c r="P367" i="2"/>
  <c r="O367" i="2"/>
  <c r="M367" i="2"/>
  <c r="L367" i="2"/>
  <c r="J367" i="2"/>
  <c r="I367" i="2"/>
  <c r="K363" i="2"/>
  <c r="K362" i="2"/>
  <c r="K361" i="2"/>
  <c r="K359" i="2"/>
  <c r="K358" i="2"/>
  <c r="K357" i="2"/>
  <c r="N363" i="2"/>
  <c r="N362" i="2"/>
  <c r="N361" i="2"/>
  <c r="N359" i="2"/>
  <c r="N358" i="2"/>
  <c r="N357" i="2"/>
  <c r="Q363" i="2"/>
  <c r="Q362" i="2"/>
  <c r="Q361" i="2"/>
  <c r="Q359" i="2"/>
  <c r="Q358" i="2"/>
  <c r="Q357" i="2"/>
  <c r="T363" i="2"/>
  <c r="T362" i="2"/>
  <c r="T361" i="2"/>
  <c r="T359" i="2"/>
  <c r="T358" i="2"/>
  <c r="T357" i="2"/>
  <c r="W363" i="2"/>
  <c r="W362" i="2"/>
  <c r="W361" i="2"/>
  <c r="W359" i="2"/>
  <c r="W358" i="2"/>
  <c r="W357" i="2"/>
  <c r="Z363" i="2"/>
  <c r="Z362" i="2"/>
  <c r="Z361" i="2"/>
  <c r="Z359" i="2"/>
  <c r="Z358" i="2"/>
  <c r="Z357" i="2"/>
  <c r="AC363" i="2"/>
  <c r="AC362" i="2"/>
  <c r="AC361" i="2"/>
  <c r="AC359" i="2"/>
  <c r="AC358" i="2"/>
  <c r="AC357" i="2"/>
  <c r="AE363" i="2"/>
  <c r="AE362" i="2"/>
  <c r="AE358" i="2"/>
  <c r="AE357" i="2"/>
  <c r="AD363" i="2"/>
  <c r="AD362" i="2"/>
  <c r="AD358" i="2"/>
  <c r="AD357" i="2"/>
  <c r="AI363" i="2"/>
  <c r="AI362" i="2"/>
  <c r="AI358" i="2"/>
  <c r="AI357" i="2"/>
  <c r="AM363" i="2"/>
  <c r="AM362" i="2"/>
  <c r="AM358" i="2"/>
  <c r="AM357" i="2"/>
  <c r="AP363" i="2"/>
  <c r="AP362" i="2"/>
  <c r="AP358" i="2"/>
  <c r="AP357" i="2"/>
  <c r="AE355" i="2"/>
  <c r="AE351" i="2"/>
  <c r="AE350" i="2"/>
  <c r="AD355" i="2"/>
  <c r="AD351" i="2"/>
  <c r="AD350" i="2"/>
  <c r="AE348" i="2"/>
  <c r="AC355" i="2"/>
  <c r="AC351" i="2"/>
  <c r="AC350" i="2"/>
  <c r="Z355" i="2"/>
  <c r="Z351" i="2"/>
  <c r="Z350" i="2"/>
  <c r="X349" i="2"/>
  <c r="T348" i="2"/>
  <c r="T347" i="2"/>
  <c r="T346" i="2"/>
  <c r="T345" i="2"/>
  <c r="T344" i="2"/>
  <c r="T343" i="2"/>
  <c r="Q348" i="2"/>
  <c r="Q347" i="2"/>
  <c r="Q346" i="2"/>
  <c r="Q345" i="2"/>
  <c r="Q344" i="2"/>
  <c r="Q343" i="2"/>
  <c r="N348" i="2"/>
  <c r="N347" i="2"/>
  <c r="N346" i="2"/>
  <c r="N345" i="2"/>
  <c r="N344" i="2"/>
  <c r="N343" i="2"/>
  <c r="K348" i="2"/>
  <c r="K347" i="2"/>
  <c r="K346" i="2"/>
  <c r="K345" i="2"/>
  <c r="K344" i="2"/>
  <c r="K343" i="2"/>
  <c r="AC348" i="2"/>
  <c r="AC347" i="2"/>
  <c r="AC346" i="2"/>
  <c r="AC345" i="2"/>
  <c r="AC344" i="2"/>
  <c r="AC343" i="2"/>
  <c r="Z348" i="2"/>
  <c r="Z347" i="2"/>
  <c r="Z346" i="2"/>
  <c r="Z345" i="2"/>
  <c r="Z344" i="2"/>
  <c r="Z343" i="2"/>
  <c r="AE347" i="2"/>
  <c r="AE346" i="2"/>
  <c r="AE345" i="2"/>
  <c r="AE344" i="2"/>
  <c r="AE343" i="2"/>
  <c r="AD346" i="2"/>
  <c r="AD345" i="2"/>
  <c r="AD344" i="2"/>
  <c r="AD343" i="2"/>
  <c r="AE341" i="2"/>
  <c r="AE340" i="2"/>
  <c r="AE339" i="2"/>
  <c r="AD341" i="2"/>
  <c r="AD340" i="2"/>
  <c r="AD339" i="2"/>
  <c r="AH342" i="2"/>
  <c r="AG342" i="2"/>
  <c r="AO342" i="2"/>
  <c r="AN342" i="2"/>
  <c r="X342" i="2"/>
  <c r="V342" i="2"/>
  <c r="U342" i="2"/>
  <c r="S342" i="2"/>
  <c r="R342" i="2"/>
  <c r="P342" i="2"/>
  <c r="O342" i="2"/>
  <c r="M342" i="2"/>
  <c r="L342" i="2"/>
  <c r="J342" i="2"/>
  <c r="I342" i="2"/>
  <c r="T341" i="2"/>
  <c r="T340" i="2"/>
  <c r="T339" i="2"/>
  <c r="W341" i="2"/>
  <c r="W340" i="2"/>
  <c r="W339" i="2"/>
  <c r="Z341" i="2"/>
  <c r="Z340" i="2"/>
  <c r="Z339" i="2"/>
  <c r="AC341" i="2"/>
  <c r="AC340" i="2"/>
  <c r="AC339" i="2"/>
  <c r="AO338" i="2"/>
  <c r="AN338" i="2"/>
  <c r="AH338" i="2"/>
  <c r="AG338" i="2"/>
  <c r="X338" i="2"/>
  <c r="V338" i="2"/>
  <c r="U338" i="2"/>
  <c r="S338" i="2"/>
  <c r="R338" i="2"/>
  <c r="P338" i="2"/>
  <c r="O338" i="2"/>
  <c r="M338" i="2"/>
  <c r="L338" i="2"/>
  <c r="J338" i="2"/>
  <c r="I338" i="2"/>
  <c r="AE337" i="2"/>
  <c r="AE336" i="2"/>
  <c r="AD337" i="2"/>
  <c r="AD336" i="2"/>
  <c r="AC337" i="2"/>
  <c r="AC336" i="2"/>
  <c r="Z337" i="2"/>
  <c r="Z336" i="2"/>
  <c r="X335" i="2"/>
  <c r="AE334" i="2"/>
  <c r="AE333" i="2"/>
  <c r="AE332" i="2"/>
  <c r="AD334" i="2"/>
  <c r="AD333" i="2"/>
  <c r="AD332" i="2"/>
  <c r="AC334" i="2"/>
  <c r="AC333" i="2"/>
  <c r="AC332" i="2"/>
  <c r="Z334" i="2"/>
  <c r="Z333" i="2"/>
  <c r="Z332" i="2"/>
  <c r="X331" i="2"/>
  <c r="K327" i="2"/>
  <c r="Q327" i="2"/>
  <c r="T327" i="2"/>
  <c r="W327" i="2"/>
  <c r="Z327" i="2"/>
  <c r="AC327" i="2"/>
  <c r="AE327" i="2"/>
  <c r="AF327" i="2" s="1"/>
  <c r="AI327" i="2"/>
  <c r="AM327" i="2"/>
  <c r="AP327" i="2"/>
  <c r="K326" i="2"/>
  <c r="Q326" i="2"/>
  <c r="T326" i="2"/>
  <c r="W326" i="2"/>
  <c r="Z326" i="2"/>
  <c r="AC326" i="2"/>
  <c r="AE326" i="2"/>
  <c r="AD326" i="2"/>
  <c r="AI326" i="2"/>
  <c r="AM326" i="2"/>
  <c r="AP326" i="2"/>
  <c r="AO325" i="2"/>
  <c r="AN325" i="2"/>
  <c r="AK325" i="2"/>
  <c r="AJ325" i="2"/>
  <c r="AH325" i="2"/>
  <c r="AG325" i="2"/>
  <c r="X325" i="2"/>
  <c r="V325" i="2"/>
  <c r="U325" i="2"/>
  <c r="S325" i="2"/>
  <c r="R325" i="2"/>
  <c r="P325" i="2"/>
  <c r="O325" i="2"/>
  <c r="M325" i="2"/>
  <c r="L325" i="2"/>
  <c r="J325" i="2"/>
  <c r="I325" i="2"/>
  <c r="K324" i="2"/>
  <c r="K323" i="2"/>
  <c r="K322" i="2"/>
  <c r="K321" i="2"/>
  <c r="Q324" i="2"/>
  <c r="Q323" i="2"/>
  <c r="Q322" i="2"/>
  <c r="Q321" i="2"/>
  <c r="T324" i="2"/>
  <c r="T323" i="2"/>
  <c r="T322" i="2"/>
  <c r="T321" i="2"/>
  <c r="W324" i="2"/>
  <c r="W323" i="2"/>
  <c r="W322" i="2"/>
  <c r="W321" i="2"/>
  <c r="Z324" i="2"/>
  <c r="Z323" i="2"/>
  <c r="Z322" i="2"/>
  <c r="Z321" i="2"/>
  <c r="AC324" i="2"/>
  <c r="AC323" i="2"/>
  <c r="AC322" i="2"/>
  <c r="AC321" i="2"/>
  <c r="AD322" i="2"/>
  <c r="AD321" i="2"/>
  <c r="AE324" i="2"/>
  <c r="AE323" i="2"/>
  <c r="AE322" i="2"/>
  <c r="AE321" i="2"/>
  <c r="AI324" i="2"/>
  <c r="AI323" i="2"/>
  <c r="AI322" i="2"/>
  <c r="AI321" i="2"/>
  <c r="AM324" i="2"/>
  <c r="AM323" i="2"/>
  <c r="AM322" i="2"/>
  <c r="AM321" i="2"/>
  <c r="AP324" i="2"/>
  <c r="AP323" i="2"/>
  <c r="AP322" i="2"/>
  <c r="AP321" i="2"/>
  <c r="AO320" i="2"/>
  <c r="AN320" i="2"/>
  <c r="AK320" i="2"/>
  <c r="AJ320" i="2"/>
  <c r="AH320" i="2"/>
  <c r="AG320" i="2"/>
  <c r="X320" i="2"/>
  <c r="V320" i="2"/>
  <c r="U320" i="2"/>
  <c r="S320" i="2"/>
  <c r="R320" i="2"/>
  <c r="P320" i="2"/>
  <c r="O320" i="2"/>
  <c r="M320" i="2"/>
  <c r="L320" i="2"/>
  <c r="J320" i="2"/>
  <c r="I320" i="2"/>
  <c r="K319" i="2"/>
  <c r="K312" i="2"/>
  <c r="K311" i="2"/>
  <c r="K310" i="2"/>
  <c r="K309" i="2"/>
  <c r="Q319" i="2"/>
  <c r="Q312" i="2"/>
  <c r="Q311" i="2"/>
  <c r="Q310" i="2"/>
  <c r="Q309" i="2"/>
  <c r="O308" i="2"/>
  <c r="P308" i="2"/>
  <c r="T319" i="2"/>
  <c r="T312" i="2"/>
  <c r="T311" i="2"/>
  <c r="T310" i="2"/>
  <c r="T309" i="2"/>
  <c r="W319" i="2"/>
  <c r="W312" i="2"/>
  <c r="W311" i="2"/>
  <c r="W310" i="2"/>
  <c r="W309" i="2"/>
  <c r="Z319" i="2"/>
  <c r="Z312" i="2"/>
  <c r="Z311" i="2"/>
  <c r="Z310" i="2"/>
  <c r="Z309" i="2"/>
  <c r="AC319" i="2"/>
  <c r="AC312" i="2"/>
  <c r="AC311" i="2"/>
  <c r="AC310" i="2"/>
  <c r="AC309" i="2"/>
  <c r="AD312" i="2"/>
  <c r="AD311" i="2"/>
  <c r="AD310" i="2"/>
  <c r="AD309" i="2"/>
  <c r="AI319" i="2"/>
  <c r="AI312" i="2"/>
  <c r="AI311" i="2"/>
  <c r="AI310" i="2"/>
  <c r="AI309" i="2"/>
  <c r="AM319" i="2"/>
  <c r="AM312" i="2"/>
  <c r="AM311" i="2"/>
  <c r="AM310" i="2"/>
  <c r="AM309" i="2"/>
  <c r="AP319" i="2"/>
  <c r="AP312" i="2"/>
  <c r="AP311" i="2"/>
  <c r="AP310" i="2"/>
  <c r="AP309" i="2"/>
  <c r="AO308" i="2"/>
  <c r="AN308" i="2"/>
  <c r="AK308" i="2"/>
  <c r="AJ308" i="2"/>
  <c r="AH308" i="2"/>
  <c r="AG308" i="2"/>
  <c r="X308" i="2"/>
  <c r="V308" i="2"/>
  <c r="U308" i="2"/>
  <c r="S308" i="2"/>
  <c r="R308" i="2"/>
  <c r="M308" i="2"/>
  <c r="L308" i="2"/>
  <c r="J308" i="2"/>
  <c r="I308" i="2"/>
  <c r="K307" i="2"/>
  <c r="K305" i="2"/>
  <c r="K304" i="2"/>
  <c r="Q307" i="2"/>
  <c r="Q305" i="2"/>
  <c r="Q304" i="2"/>
  <c r="T307" i="2"/>
  <c r="T305" i="2"/>
  <c r="T304" i="2"/>
  <c r="W307" i="2"/>
  <c r="W305" i="2"/>
  <c r="W304" i="2"/>
  <c r="Z307" i="2"/>
  <c r="Z305" i="2"/>
  <c r="Z304" i="2"/>
  <c r="AC307" i="2"/>
  <c r="AC305" i="2"/>
  <c r="AC304" i="2"/>
  <c r="AE307" i="2"/>
  <c r="AE305" i="2"/>
  <c r="AE304" i="2"/>
  <c r="AD307" i="2"/>
  <c r="AD305" i="2"/>
  <c r="AD304" i="2"/>
  <c r="AI307" i="2"/>
  <c r="AI305" i="2"/>
  <c r="AI304" i="2"/>
  <c r="AM307" i="2"/>
  <c r="AM305" i="2"/>
  <c r="AM304" i="2"/>
  <c r="AP307" i="2"/>
  <c r="AP305" i="2"/>
  <c r="AP304" i="2"/>
  <c r="AO303" i="2"/>
  <c r="AN303" i="2"/>
  <c r="AK303" i="2"/>
  <c r="AJ303" i="2"/>
  <c r="AH303" i="2"/>
  <c r="AG303" i="2"/>
  <c r="X303" i="2"/>
  <c r="V303" i="2"/>
  <c r="U303" i="2"/>
  <c r="S303" i="2"/>
  <c r="R303" i="2"/>
  <c r="P303" i="2"/>
  <c r="O303" i="2"/>
  <c r="M303" i="2"/>
  <c r="L303" i="2"/>
  <c r="J303" i="2"/>
  <c r="I303" i="2"/>
  <c r="AC302" i="2"/>
  <c r="Z302" i="2"/>
  <c r="W302" i="2"/>
  <c r="T302" i="2"/>
  <c r="Q302" i="2"/>
  <c r="N302" i="2"/>
  <c r="K302" i="2"/>
  <c r="AD302" i="2"/>
  <c r="AI302" i="2"/>
  <c r="AM302" i="2"/>
  <c r="AP302" i="2"/>
  <c r="AP297" i="2"/>
  <c r="AP298" i="2"/>
  <c r="AM297" i="2"/>
  <c r="AI297" i="2"/>
  <c r="AI298" i="2"/>
  <c r="AC293" i="2"/>
  <c r="AC292" i="2"/>
  <c r="AC291" i="2"/>
  <c r="AC290" i="2"/>
  <c r="Z293" i="2"/>
  <c r="Z292" i="2"/>
  <c r="Z291" i="2"/>
  <c r="Z290" i="2"/>
  <c r="W297" i="2"/>
  <c r="W298" i="2"/>
  <c r="T297" i="2"/>
  <c r="T298" i="2"/>
  <c r="Q297" i="2"/>
  <c r="Q298" i="2"/>
  <c r="N297" i="2"/>
  <c r="N298" i="2"/>
  <c r="K297" i="2"/>
  <c r="K298" i="2"/>
  <c r="AE298" i="2"/>
  <c r="AE297" i="2"/>
  <c r="AE296" i="2"/>
  <c r="AE295" i="2"/>
  <c r="AD298" i="2"/>
  <c r="AD297" i="2"/>
  <c r="AD296" i="2"/>
  <c r="AD295" i="2"/>
  <c r="AH294" i="2"/>
  <c r="AG294" i="2"/>
  <c r="AK294" i="2"/>
  <c r="AJ294" i="2"/>
  <c r="AO294" i="2"/>
  <c r="AN294" i="2"/>
  <c r="X294" i="2"/>
  <c r="V294" i="2"/>
  <c r="U294" i="2"/>
  <c r="S294" i="2"/>
  <c r="R294" i="2"/>
  <c r="P294" i="2"/>
  <c r="O294" i="2"/>
  <c r="M294" i="2"/>
  <c r="L294" i="2"/>
  <c r="J294" i="2"/>
  <c r="I294" i="2"/>
  <c r="AE279" i="2"/>
  <c r="AE278" i="2"/>
  <c r="AE277" i="2"/>
  <c r="AE275" i="2"/>
  <c r="AE272" i="2"/>
  <c r="AE271" i="2"/>
  <c r="AD279" i="2"/>
  <c r="AD278" i="2"/>
  <c r="AD277" i="2"/>
  <c r="AK258" i="2"/>
  <c r="AO258" i="2"/>
  <c r="AO266" i="2"/>
  <c r="AP278" i="2"/>
  <c r="AP277" i="2"/>
  <c r="AM278" i="2"/>
  <c r="AM277" i="2"/>
  <c r="AI278" i="2"/>
  <c r="AI277" i="2"/>
  <c r="AC279" i="2"/>
  <c r="AC278" i="2"/>
  <c r="AC277" i="2"/>
  <c r="Z279" i="2"/>
  <c r="Z278" i="2"/>
  <c r="Z277" i="2"/>
  <c r="W278" i="2"/>
  <c r="W277" i="2"/>
  <c r="T278" i="2"/>
  <c r="T277" i="2"/>
  <c r="Q278" i="2"/>
  <c r="Q277" i="2"/>
  <c r="N278" i="2"/>
  <c r="N277" i="2"/>
  <c r="K278" i="2"/>
  <c r="K277" i="2"/>
  <c r="AP272" i="2"/>
  <c r="AP275" i="2"/>
  <c r="AP271" i="2"/>
  <c r="AM275" i="2"/>
  <c r="AM272" i="2"/>
  <c r="AM271" i="2"/>
  <c r="AI272" i="2"/>
  <c r="AI275" i="2"/>
  <c r="AI271" i="2"/>
  <c r="Z272" i="2"/>
  <c r="Z275" i="2"/>
  <c r="Z271" i="2"/>
  <c r="W272" i="2"/>
  <c r="W275" i="2"/>
  <c r="W271" i="2"/>
  <c r="T272" i="2"/>
  <c r="T275" i="2"/>
  <c r="T271" i="2"/>
  <c r="Q272" i="2"/>
  <c r="Q275" i="2"/>
  <c r="Q271" i="2"/>
  <c r="N272" i="2"/>
  <c r="N275" i="2"/>
  <c r="N271" i="2"/>
  <c r="AC275" i="2"/>
  <c r="AC272" i="2"/>
  <c r="AC271" i="2"/>
  <c r="AD275" i="2"/>
  <c r="AD272" i="2"/>
  <c r="AD271" i="2"/>
  <c r="AO270" i="2"/>
  <c r="AN270" i="2"/>
  <c r="AK270" i="2"/>
  <c r="AJ270" i="2"/>
  <c r="AH270" i="2"/>
  <c r="AG270" i="2"/>
  <c r="X270" i="2"/>
  <c r="V270" i="2"/>
  <c r="U270" i="2"/>
  <c r="S270" i="2"/>
  <c r="R270" i="2"/>
  <c r="P270" i="2"/>
  <c r="O270" i="2"/>
  <c r="M270" i="2"/>
  <c r="L270" i="2"/>
  <c r="K275" i="2"/>
  <c r="K272" i="2"/>
  <c r="K271" i="2"/>
  <c r="J270" i="2"/>
  <c r="AP268" i="2"/>
  <c r="AP269" i="2"/>
  <c r="AP267" i="2"/>
  <c r="AC268" i="2"/>
  <c r="AC269" i="2"/>
  <c r="AC267" i="2"/>
  <c r="Z268" i="2"/>
  <c r="Z269" i="2"/>
  <c r="Z267" i="2"/>
  <c r="W268" i="2"/>
  <c r="W269" i="2"/>
  <c r="W267" i="2"/>
  <c r="AM268" i="2"/>
  <c r="AM269" i="2"/>
  <c r="AM267" i="2"/>
  <c r="AI268" i="2"/>
  <c r="AI269" i="2"/>
  <c r="AI267" i="2"/>
  <c r="T268" i="2"/>
  <c r="T269" i="2"/>
  <c r="T267" i="2"/>
  <c r="Q268" i="2"/>
  <c r="Q269" i="2"/>
  <c r="Q267" i="2"/>
  <c r="N268" i="2"/>
  <c r="N269" i="2"/>
  <c r="N267" i="2"/>
  <c r="AJ258" i="2"/>
  <c r="AD265" i="2"/>
  <c r="AD261" i="2"/>
  <c r="AD260" i="2"/>
  <c r="AD259" i="2"/>
  <c r="AH258" i="2"/>
  <c r="AC265" i="2"/>
  <c r="AC261" i="2"/>
  <c r="AC260" i="2"/>
  <c r="AC259" i="2"/>
  <c r="Z266" i="2"/>
  <c r="W266" i="2"/>
  <c r="T266" i="2"/>
  <c r="Q266" i="2"/>
  <c r="N266" i="2"/>
  <c r="K266" i="2"/>
  <c r="N260" i="2"/>
  <c r="N261" i="2"/>
  <c r="N265" i="2"/>
  <c r="AE260" i="2"/>
  <c r="M266" i="2"/>
  <c r="Q265" i="2"/>
  <c r="Q261" i="2"/>
  <c r="Q260" i="2"/>
  <c r="T265" i="2"/>
  <c r="T261" i="2"/>
  <c r="T260" i="2"/>
  <c r="W260" i="2"/>
  <c r="W261" i="2"/>
  <c r="W265" i="2"/>
  <c r="Z265" i="2"/>
  <c r="Z261" i="2"/>
  <c r="Z260" i="2"/>
  <c r="Z259" i="2"/>
  <c r="AI261" i="2"/>
  <c r="AI265" i="2"/>
  <c r="AP261" i="2"/>
  <c r="AP265" i="2"/>
  <c r="AM261" i="2"/>
  <c r="AM265" i="2"/>
  <c r="AM260" i="2"/>
  <c r="AE265" i="2"/>
  <c r="AE261" i="2"/>
  <c r="AE259" i="2"/>
  <c r="AC575" i="2"/>
  <c r="AC574" i="2"/>
  <c r="K265" i="2"/>
  <c r="K261" i="2"/>
  <c r="K260" i="2"/>
  <c r="AE257" i="2"/>
  <c r="AE256" i="2"/>
  <c r="AE255" i="2"/>
  <c r="AD257" i="2"/>
  <c r="AD256" i="2"/>
  <c r="AD255" i="2"/>
  <c r="AH276" i="2"/>
  <c r="AG276" i="2"/>
  <c r="AK276" i="2"/>
  <c r="AJ276" i="2"/>
  <c r="AO276" i="2"/>
  <c r="AN276" i="2"/>
  <c r="X276" i="2"/>
  <c r="V276" i="2"/>
  <c r="U276" i="2"/>
  <c r="S276" i="2"/>
  <c r="R276" i="2"/>
  <c r="P276" i="2"/>
  <c r="O276" i="2"/>
  <c r="M276" i="2"/>
  <c r="L276" i="2"/>
  <c r="J276" i="2"/>
  <c r="I276" i="2"/>
  <c r="I270" i="2"/>
  <c r="AG266" i="2"/>
  <c r="AJ266" i="2"/>
  <c r="AN266" i="2"/>
  <c r="X266" i="2"/>
  <c r="U266" i="2"/>
  <c r="O266" i="2"/>
  <c r="L266" i="2"/>
  <c r="J266" i="2"/>
  <c r="I266" i="2"/>
  <c r="AH266" i="2"/>
  <c r="AK266" i="2"/>
  <c r="V266" i="2"/>
  <c r="S266" i="2"/>
  <c r="P266" i="2"/>
  <c r="X258" i="2"/>
  <c r="V258" i="2"/>
  <c r="U258" i="2"/>
  <c r="S258" i="2"/>
  <c r="R258" i="2"/>
  <c r="P258" i="2"/>
  <c r="O258" i="2"/>
  <c r="M258" i="2"/>
  <c r="L258" i="2"/>
  <c r="J258" i="2"/>
  <c r="I258" i="2"/>
  <c r="AC257" i="2"/>
  <c r="AC256" i="2"/>
  <c r="AC255" i="2"/>
  <c r="Z257" i="2"/>
  <c r="Z256" i="2"/>
  <c r="Z255" i="2"/>
  <c r="AK254" i="2"/>
  <c r="AJ254" i="2"/>
  <c r="AH254" i="2"/>
  <c r="AG254" i="2"/>
  <c r="X254" i="2"/>
  <c r="V254" i="2"/>
  <c r="U254" i="2"/>
  <c r="S254" i="2"/>
  <c r="R254" i="2"/>
  <c r="P254" i="2"/>
  <c r="O254" i="2"/>
  <c r="L254" i="2"/>
  <c r="J254" i="2"/>
  <c r="I254" i="2"/>
  <c r="U23" i="3"/>
  <c r="AG239" i="2"/>
  <c r="AJ239" i="2"/>
  <c r="AN239" i="2"/>
  <c r="AE250" i="2"/>
  <c r="AE248" i="2"/>
  <c r="AE247" i="2"/>
  <c r="AE245" i="2"/>
  <c r="AH245" i="2" s="1"/>
  <c r="AI245" i="2" s="1"/>
  <c r="AE241" i="2"/>
  <c r="AH241" i="2" s="1"/>
  <c r="AI241" i="2" s="1"/>
  <c r="AE240" i="2"/>
  <c r="AH240" i="2" s="1"/>
  <c r="AD245" i="2"/>
  <c r="AD241" i="2"/>
  <c r="AD240" i="2"/>
  <c r="Z250" i="2"/>
  <c r="Z248" i="2"/>
  <c r="Z247" i="2"/>
  <c r="X246" i="2"/>
  <c r="AC245" i="2"/>
  <c r="AC241" i="2"/>
  <c r="AC240" i="2"/>
  <c r="Z245" i="2"/>
  <c r="Z241" i="2"/>
  <c r="Z240" i="2"/>
  <c r="X239" i="2"/>
  <c r="AN234" i="2"/>
  <c r="AG234" i="2"/>
  <c r="AC238" i="2"/>
  <c r="AC237" i="2"/>
  <c r="AC236" i="2"/>
  <c r="AC235" i="2"/>
  <c r="Z238" i="2"/>
  <c r="Z237" i="2"/>
  <c r="Z236" i="2"/>
  <c r="Z235" i="2"/>
  <c r="AE238" i="2"/>
  <c r="AH238" i="2" s="1"/>
  <c r="AI238" i="2" s="1"/>
  <c r="AE237" i="2"/>
  <c r="AH237" i="2" s="1"/>
  <c r="AE236" i="2"/>
  <c r="AH236" i="2" s="1"/>
  <c r="AI236" i="2" s="1"/>
  <c r="AE235" i="2"/>
  <c r="AH235" i="2" s="1"/>
  <c r="AI235" i="2" s="1"/>
  <c r="X234" i="2"/>
  <c r="V234" i="2"/>
  <c r="U234" i="2"/>
  <c r="S234" i="2"/>
  <c r="R234" i="2"/>
  <c r="P234" i="2"/>
  <c r="O234" i="2"/>
  <c r="M234" i="2"/>
  <c r="L234" i="2"/>
  <c r="J234" i="2"/>
  <c r="AP227" i="2"/>
  <c r="AP228" i="2"/>
  <c r="AP230" i="2"/>
  <c r="AI227" i="2"/>
  <c r="AI228" i="2"/>
  <c r="AI230" i="2"/>
  <c r="AC230" i="2"/>
  <c r="AC228" i="2"/>
  <c r="AC227" i="2"/>
  <c r="AC226" i="2"/>
  <c r="AC225" i="2"/>
  <c r="Z225" i="2"/>
  <c r="Z226" i="2"/>
  <c r="Z227" i="2"/>
  <c r="Z228" i="2"/>
  <c r="Z230" i="2"/>
  <c r="X224" i="2"/>
  <c r="AE230" i="2"/>
  <c r="AE228" i="2"/>
  <c r="AE227" i="2"/>
  <c r="AE226" i="2"/>
  <c r="AE225" i="2"/>
  <c r="AD230" i="2"/>
  <c r="AD228" i="2"/>
  <c r="AD227" i="2"/>
  <c r="AD226" i="2"/>
  <c r="AD225" i="2"/>
  <c r="V224" i="2"/>
  <c r="V231" i="2" s="1"/>
  <c r="U224" i="2"/>
  <c r="U231" i="2" s="1"/>
  <c r="S224" i="2"/>
  <c r="S231" i="2" s="1"/>
  <c r="R224" i="2"/>
  <c r="R231" i="2" s="1"/>
  <c r="P224" i="2"/>
  <c r="P231" i="2" s="1"/>
  <c r="O224" i="2"/>
  <c r="O231" i="2" s="1"/>
  <c r="M224" i="2"/>
  <c r="M231" i="2" s="1"/>
  <c r="L224" i="2"/>
  <c r="L231" i="2" s="1"/>
  <c r="J224" i="2"/>
  <c r="J231" i="2" s="1"/>
  <c r="I224" i="2"/>
  <c r="W227" i="2"/>
  <c r="W228" i="2"/>
  <c r="W230" i="2"/>
  <c r="T227" i="2"/>
  <c r="T228" i="2"/>
  <c r="T230" i="2"/>
  <c r="Q227" i="2"/>
  <c r="Q228" i="2"/>
  <c r="Q230" i="2"/>
  <c r="N227" i="2"/>
  <c r="N228" i="2"/>
  <c r="N230" i="2"/>
  <c r="K227" i="2"/>
  <c r="K228" i="2"/>
  <c r="K230" i="2"/>
  <c r="AE223" i="2"/>
  <c r="AE221" i="2"/>
  <c r="AE220" i="2"/>
  <c r="AE219" i="2"/>
  <c r="AD223" i="2"/>
  <c r="AD221" i="2"/>
  <c r="AD220" i="2"/>
  <c r="AD219" i="2"/>
  <c r="AP196" i="2"/>
  <c r="AP197" i="2"/>
  <c r="AP214" i="2"/>
  <c r="Z223" i="2"/>
  <c r="Z221" i="2"/>
  <c r="Z220" i="2"/>
  <c r="Z219" i="2"/>
  <c r="AC223" i="2"/>
  <c r="AC221" i="2"/>
  <c r="AC220" i="2"/>
  <c r="AC219" i="2"/>
  <c r="AC214" i="2"/>
  <c r="AC197" i="2"/>
  <c r="AC196" i="2"/>
  <c r="AC195" i="2"/>
  <c r="Z214" i="2"/>
  <c r="Z197" i="2"/>
  <c r="Z196" i="2"/>
  <c r="Z195" i="2"/>
  <c r="W214" i="2"/>
  <c r="T214" i="2"/>
  <c r="AE197" i="2"/>
  <c r="AE196" i="2"/>
  <c r="AE195" i="2"/>
  <c r="AD197" i="2"/>
  <c r="AD196" i="2"/>
  <c r="AD195" i="2"/>
  <c r="AI214" i="2"/>
  <c r="Q214" i="2"/>
  <c r="N214" i="2"/>
  <c r="K214" i="2"/>
  <c r="AD193" i="2"/>
  <c r="AD192" i="2"/>
  <c r="AD191" i="2"/>
  <c r="AD190" i="2"/>
  <c r="AD189" i="2"/>
  <c r="AH188" i="2"/>
  <c r="AG188" i="2"/>
  <c r="AK188" i="2"/>
  <c r="AJ188" i="2"/>
  <c r="AE193" i="2"/>
  <c r="AE192" i="2"/>
  <c r="AE191" i="2"/>
  <c r="AE190" i="2"/>
  <c r="AE189" i="2"/>
  <c r="AM192" i="2"/>
  <c r="AM193" i="2"/>
  <c r="AI192" i="2"/>
  <c r="AI193" i="2"/>
  <c r="K192" i="2"/>
  <c r="K193" i="2"/>
  <c r="N192" i="2"/>
  <c r="N193" i="2"/>
  <c r="Q192" i="2"/>
  <c r="Q193" i="2"/>
  <c r="T192" i="2"/>
  <c r="T193" i="2"/>
  <c r="W192" i="2"/>
  <c r="W193" i="2"/>
  <c r="Z193" i="2"/>
  <c r="Z192" i="2"/>
  <c r="Z191" i="2"/>
  <c r="Z190" i="2"/>
  <c r="Z189" i="2"/>
  <c r="AC193" i="2"/>
  <c r="AC192" i="2"/>
  <c r="AC191" i="2"/>
  <c r="AC190" i="2"/>
  <c r="AC189" i="2"/>
  <c r="X188" i="2"/>
  <c r="V188" i="2"/>
  <c r="U188" i="2"/>
  <c r="S188" i="2"/>
  <c r="R188" i="2"/>
  <c r="P188" i="2"/>
  <c r="O188" i="2"/>
  <c r="M188" i="2"/>
  <c r="L188" i="2"/>
  <c r="J188" i="2"/>
  <c r="I188" i="2"/>
  <c r="AE134" i="2"/>
  <c r="AE131" i="2"/>
  <c r="AE130" i="2"/>
  <c r="AD134" i="2"/>
  <c r="AD131" i="2"/>
  <c r="AD130" i="2"/>
  <c r="K134" i="2"/>
  <c r="K131" i="2"/>
  <c r="K130" i="2"/>
  <c r="N134" i="2"/>
  <c r="N131" i="2"/>
  <c r="N130" i="2"/>
  <c r="Q134" i="2"/>
  <c r="Q131" i="2"/>
  <c r="Q130" i="2"/>
  <c r="T134" i="2"/>
  <c r="T131" i="2"/>
  <c r="T130" i="2"/>
  <c r="W134" i="2"/>
  <c r="W131" i="2"/>
  <c r="W130" i="2"/>
  <c r="Z134" i="2"/>
  <c r="Z131" i="2"/>
  <c r="Z130" i="2"/>
  <c r="AC134" i="2"/>
  <c r="AC131" i="2"/>
  <c r="AC130" i="2"/>
  <c r="AI134" i="2"/>
  <c r="AI131" i="2"/>
  <c r="AI130" i="2"/>
  <c r="AM134" i="2"/>
  <c r="AM131" i="2"/>
  <c r="AM130" i="2"/>
  <c r="AP130" i="2"/>
  <c r="AO129" i="2"/>
  <c r="AN129" i="2"/>
  <c r="AG129" i="2"/>
  <c r="AC128" i="2"/>
  <c r="AC127" i="2"/>
  <c r="AC125" i="2"/>
  <c r="AC124" i="2"/>
  <c r="AC123" i="2"/>
  <c r="AC122" i="2"/>
  <c r="Z128" i="2"/>
  <c r="Z127" i="2"/>
  <c r="Z125" i="2"/>
  <c r="Z124" i="2"/>
  <c r="Z123" i="2"/>
  <c r="Z122" i="2"/>
  <c r="AE128" i="2"/>
  <c r="AE127" i="2"/>
  <c r="AE125" i="2"/>
  <c r="AE124" i="2"/>
  <c r="AE123" i="2"/>
  <c r="AE122" i="2"/>
  <c r="AD128" i="2"/>
  <c r="AD127" i="2"/>
  <c r="AD125" i="2"/>
  <c r="AD124" i="2"/>
  <c r="AD123" i="2"/>
  <c r="AD122" i="2"/>
  <c r="AE120" i="2"/>
  <c r="AD120" i="2"/>
  <c r="AD119" i="2"/>
  <c r="AD118" i="2"/>
  <c r="AD117" i="2"/>
  <c r="AC120" i="2"/>
  <c r="AC119" i="2"/>
  <c r="AC118" i="2"/>
  <c r="AC117" i="2"/>
  <c r="Z120" i="2"/>
  <c r="Z119" i="2"/>
  <c r="Z118" i="2"/>
  <c r="Z117" i="2"/>
  <c r="AC34" i="2"/>
  <c r="AC33" i="2"/>
  <c r="Z34" i="2"/>
  <c r="Z33" i="2"/>
  <c r="AI29" i="2"/>
  <c r="AI28" i="2"/>
  <c r="AI27" i="2"/>
  <c r="AI26" i="2"/>
  <c r="AI25" i="2"/>
  <c r="AM29" i="2"/>
  <c r="AM28" i="2"/>
  <c r="AM27" i="2"/>
  <c r="AM26" i="2"/>
  <c r="AM25" i="2"/>
  <c r="AP29" i="2"/>
  <c r="AP28" i="2"/>
  <c r="AP27" i="2"/>
  <c r="AP26" i="2"/>
  <c r="AP25" i="2"/>
  <c r="AC29" i="2"/>
  <c r="AC28" i="2"/>
  <c r="AC27" i="2"/>
  <c r="AC26" i="2"/>
  <c r="AC25" i="2"/>
  <c r="T29" i="2"/>
  <c r="T28" i="2"/>
  <c r="T27" i="2"/>
  <c r="T26" i="2"/>
  <c r="T25" i="2"/>
  <c r="T18" i="2"/>
  <c r="T17" i="2"/>
  <c r="AD12" i="2"/>
  <c r="AD13" i="2"/>
  <c r="AD14" i="2"/>
  <c r="AD15" i="2"/>
  <c r="W15" i="2"/>
  <c r="W14" i="2"/>
  <c r="W13" i="2"/>
  <c r="W12" i="2"/>
  <c r="AD34" i="2"/>
  <c r="AD33" i="2"/>
  <c r="AD29" i="2"/>
  <c r="AD28" i="2"/>
  <c r="AD27" i="2"/>
  <c r="AD26" i="2"/>
  <c r="AD25" i="2"/>
  <c r="AD18" i="2"/>
  <c r="AD17" i="2"/>
  <c r="AE18" i="2"/>
  <c r="AE17" i="2"/>
  <c r="AE29" i="2"/>
  <c r="AE28" i="2"/>
  <c r="AE27" i="2"/>
  <c r="AE26" i="2"/>
  <c r="AE25" i="2"/>
  <c r="AE34" i="2"/>
  <c r="AE33" i="2"/>
  <c r="Z29" i="2"/>
  <c r="Z28" i="2"/>
  <c r="Z27" i="2"/>
  <c r="Z26" i="2"/>
  <c r="Z25" i="2"/>
  <c r="W29" i="2"/>
  <c r="W28" i="2"/>
  <c r="W27" i="2"/>
  <c r="W26" i="2"/>
  <c r="W25" i="2"/>
  <c r="Q29" i="2"/>
  <c r="Q28" i="2"/>
  <c r="Q27" i="2"/>
  <c r="Q26" i="2"/>
  <c r="Q25" i="2"/>
  <c r="N29" i="2"/>
  <c r="N28" i="2"/>
  <c r="N27" i="2"/>
  <c r="N26" i="2"/>
  <c r="N25" i="2"/>
  <c r="AI24" i="2"/>
  <c r="AN116" i="2"/>
  <c r="Z16" i="2"/>
  <c r="K29" i="2"/>
  <c r="K27" i="2"/>
  <c r="K26" i="2"/>
  <c r="K25" i="2"/>
  <c r="AP33" i="2"/>
  <c r="AP34" i="2"/>
  <c r="N18" i="2"/>
  <c r="N17" i="2"/>
  <c r="Q18" i="2"/>
  <c r="Q17" i="2"/>
  <c r="Z18" i="2"/>
  <c r="Z17" i="2"/>
  <c r="AC18" i="2"/>
  <c r="AC17" i="2"/>
  <c r="Z15" i="2"/>
  <c r="Z14" i="2"/>
  <c r="Z13" i="2"/>
  <c r="Z12" i="2"/>
  <c r="T13" i="2"/>
  <c r="T14" i="2"/>
  <c r="T15" i="2"/>
  <c r="T12" i="2"/>
  <c r="Q15" i="2"/>
  <c r="Q14" i="2"/>
  <c r="Q13" i="2"/>
  <c r="Q12" i="2"/>
  <c r="N15" i="2"/>
  <c r="N14" i="2"/>
  <c r="N13" i="2"/>
  <c r="N12" i="2"/>
  <c r="K15" i="2"/>
  <c r="K14" i="2"/>
  <c r="K13" i="2"/>
  <c r="K12" i="2"/>
  <c r="AM355" i="2"/>
  <c r="AM351" i="2"/>
  <c r="AP351" i="2"/>
  <c r="AP355" i="2"/>
  <c r="AP350" i="2"/>
  <c r="AM350" i="2"/>
  <c r="AI351" i="2"/>
  <c r="AI355" i="2"/>
  <c r="AI350" i="2"/>
  <c r="W351" i="2"/>
  <c r="W355" i="2"/>
  <c r="W350" i="2"/>
  <c r="T351" i="2"/>
  <c r="T355" i="2"/>
  <c r="T350" i="2"/>
  <c r="Q351" i="2"/>
  <c r="Q355" i="2"/>
  <c r="Q350" i="2"/>
  <c r="N351" i="2"/>
  <c r="N355" i="2"/>
  <c r="N350" i="2"/>
  <c r="AM345" i="2"/>
  <c r="AM344" i="2"/>
  <c r="AP344" i="2"/>
  <c r="AP345" i="2"/>
  <c r="AP343" i="2"/>
  <c r="AM343" i="2"/>
  <c r="W344" i="2"/>
  <c r="W345" i="2"/>
  <c r="W343" i="2"/>
  <c r="K350" i="2"/>
  <c r="K351" i="2"/>
  <c r="K355" i="2"/>
  <c r="AO349" i="2"/>
  <c r="AN349" i="2"/>
  <c r="AH349" i="2"/>
  <c r="AG349" i="2"/>
  <c r="V349" i="2"/>
  <c r="U349" i="2"/>
  <c r="S349" i="2"/>
  <c r="R349" i="2"/>
  <c r="P349" i="2"/>
  <c r="O349" i="2"/>
  <c r="M349" i="2"/>
  <c r="L349" i="2"/>
  <c r="J349" i="2"/>
  <c r="I349" i="2"/>
  <c r="AI293" i="2"/>
  <c r="AI292" i="2"/>
  <c r="AI291" i="2"/>
  <c r="AK582" i="2"/>
  <c r="AJ582" i="2"/>
  <c r="AH582" i="2"/>
  <c r="AG582" i="2"/>
  <c r="V582" i="2"/>
  <c r="S582" i="2"/>
  <c r="P582" i="2"/>
  <c r="M582" i="2"/>
  <c r="J582" i="2"/>
  <c r="AO373" i="2"/>
  <c r="AN373" i="2"/>
  <c r="AJ373" i="2"/>
  <c r="AH373" i="2"/>
  <c r="AG373" i="2"/>
  <c r="V373" i="2"/>
  <c r="U373" i="2"/>
  <c r="S373" i="2"/>
  <c r="R373" i="2"/>
  <c r="P373" i="2"/>
  <c r="O373" i="2"/>
  <c r="M373" i="2"/>
  <c r="L373" i="2"/>
  <c r="J373" i="2"/>
  <c r="I373" i="2"/>
  <c r="AO335" i="2"/>
  <c r="AN335" i="2"/>
  <c r="AH335" i="2"/>
  <c r="AG335" i="2"/>
  <c r="V335" i="2"/>
  <c r="U335" i="2"/>
  <c r="S335" i="2"/>
  <c r="R335" i="2"/>
  <c r="P335" i="2"/>
  <c r="O335" i="2"/>
  <c r="M335" i="2"/>
  <c r="L335" i="2"/>
  <c r="J335" i="2"/>
  <c r="I335" i="2"/>
  <c r="AO331" i="2"/>
  <c r="AN331" i="2"/>
  <c r="AH331" i="2"/>
  <c r="AG331" i="2"/>
  <c r="V331" i="2"/>
  <c r="U331" i="2"/>
  <c r="S331" i="2"/>
  <c r="R331" i="2"/>
  <c r="P331" i="2"/>
  <c r="O331" i="2"/>
  <c r="M331" i="2"/>
  <c r="L331" i="2"/>
  <c r="J331" i="2"/>
  <c r="I331" i="2"/>
  <c r="AK289" i="2"/>
  <c r="AJ289" i="2"/>
  <c r="AO246" i="2"/>
  <c r="AN246" i="2"/>
  <c r="AK246" i="2"/>
  <c r="AJ246" i="2"/>
  <c r="AH246" i="2"/>
  <c r="AG246" i="2"/>
  <c r="V246" i="2"/>
  <c r="U246" i="2"/>
  <c r="S246" i="2"/>
  <c r="R246" i="2"/>
  <c r="P246" i="2"/>
  <c r="O246" i="2"/>
  <c r="M246" i="2"/>
  <c r="L246" i="2"/>
  <c r="J246" i="2"/>
  <c r="I246" i="2"/>
  <c r="AO239" i="2"/>
  <c r="AK239" i="2"/>
  <c r="V239" i="2"/>
  <c r="U239" i="2"/>
  <c r="S239" i="2"/>
  <c r="R239" i="2"/>
  <c r="P239" i="2"/>
  <c r="O239" i="2"/>
  <c r="M239" i="2"/>
  <c r="L239" i="2"/>
  <c r="J239" i="2"/>
  <c r="I239" i="2"/>
  <c r="AO234" i="2"/>
  <c r="AK234" i="2"/>
  <c r="AJ234" i="2"/>
  <c r="AH224" i="2"/>
  <c r="AH231" i="2" s="1"/>
  <c r="K20" i="3" s="1"/>
  <c r="AO116" i="2"/>
  <c r="AG116" i="2"/>
  <c r="AP32" i="2"/>
  <c r="AI16" i="2"/>
  <c r="AN11" i="2"/>
  <c r="AN113" i="2" s="1"/>
  <c r="P9" i="3" s="1"/>
  <c r="AG11" i="2"/>
  <c r="U43" i="3"/>
  <c r="U13" i="3"/>
  <c r="AP583" i="2"/>
  <c r="W583" i="2"/>
  <c r="T583" i="2"/>
  <c r="AM583" i="2"/>
  <c r="AI583" i="2"/>
  <c r="Q583" i="2"/>
  <c r="N583" i="2"/>
  <c r="K583" i="2"/>
  <c r="W578" i="2"/>
  <c r="W577" i="2"/>
  <c r="T577" i="2"/>
  <c r="Q577" i="2"/>
  <c r="N577" i="2"/>
  <c r="K577" i="2"/>
  <c r="AP574" i="2"/>
  <c r="AM574" i="2"/>
  <c r="AI574" i="2"/>
  <c r="W574" i="2"/>
  <c r="T574" i="2"/>
  <c r="Q575" i="2"/>
  <c r="Q574" i="2"/>
  <c r="N575" i="2"/>
  <c r="N574" i="2"/>
  <c r="K574" i="2"/>
  <c r="AP392" i="2"/>
  <c r="AP393" i="2"/>
  <c r="AP395" i="2"/>
  <c r="AP386" i="2"/>
  <c r="W392" i="2"/>
  <c r="W393" i="2"/>
  <c r="W395" i="2"/>
  <c r="W398" i="2"/>
  <c r="W386" i="2"/>
  <c r="T392" i="2"/>
  <c r="T393" i="2"/>
  <c r="T398" i="2"/>
  <c r="T386" i="2"/>
  <c r="AM398" i="2"/>
  <c r="AM395" i="2"/>
  <c r="AM393" i="2"/>
  <c r="AM392" i="2"/>
  <c r="AM386" i="2"/>
  <c r="AI392" i="2"/>
  <c r="AI393" i="2"/>
  <c r="AI395" i="2"/>
  <c r="AI398" i="2"/>
  <c r="AI386" i="2"/>
  <c r="Q392" i="2"/>
  <c r="Q393" i="2"/>
  <c r="Q395" i="2"/>
  <c r="Q398" i="2"/>
  <c r="Q386" i="2"/>
  <c r="N392" i="2"/>
  <c r="N393" i="2"/>
  <c r="N395" i="2"/>
  <c r="N398" i="2"/>
  <c r="N386" i="2"/>
  <c r="AP384" i="2"/>
  <c r="AP374" i="2"/>
  <c r="W384" i="2"/>
  <c r="W374" i="2"/>
  <c r="T384" i="2"/>
  <c r="T374" i="2"/>
  <c r="AM384" i="2"/>
  <c r="AM374" i="2"/>
  <c r="AI384" i="2"/>
  <c r="AI374" i="2"/>
  <c r="Q384" i="2"/>
  <c r="Q374" i="2"/>
  <c r="N384" i="2"/>
  <c r="N374" i="2"/>
  <c r="K384" i="2"/>
  <c r="K374" i="2"/>
  <c r="K392" i="2"/>
  <c r="K393" i="2"/>
  <c r="K395" i="2"/>
  <c r="K398" i="2"/>
  <c r="K386" i="2"/>
  <c r="AM341" i="2"/>
  <c r="AM340" i="2"/>
  <c r="AM339" i="2"/>
  <c r="AP340" i="2"/>
  <c r="AP341" i="2"/>
  <c r="AP339" i="2"/>
  <c r="AI340" i="2"/>
  <c r="AI341" i="2"/>
  <c r="AI339" i="2"/>
  <c r="K339" i="2"/>
  <c r="W337" i="2"/>
  <c r="W336" i="2"/>
  <c r="AM337" i="2"/>
  <c r="AM336" i="2"/>
  <c r="AP337" i="2"/>
  <c r="AP336" i="2"/>
  <c r="T337" i="2"/>
  <c r="T336" i="2"/>
  <c r="AI337" i="2"/>
  <c r="AI336" i="2"/>
  <c r="Q337" i="2"/>
  <c r="Q336" i="2"/>
  <c r="K337" i="2"/>
  <c r="K336" i="2"/>
  <c r="N337" i="2"/>
  <c r="N336" i="2"/>
  <c r="AM334" i="2"/>
  <c r="AM333" i="2"/>
  <c r="AM332" i="2"/>
  <c r="AP333" i="2"/>
  <c r="AP334" i="2"/>
  <c r="AP332" i="2"/>
  <c r="W333" i="2"/>
  <c r="W334" i="2"/>
  <c r="W332" i="2"/>
  <c r="T333" i="2"/>
  <c r="T334" i="2"/>
  <c r="T332" i="2"/>
  <c r="AI333" i="2"/>
  <c r="AI334" i="2"/>
  <c r="AI332" i="2"/>
  <c r="Q333" i="2"/>
  <c r="Q334" i="2"/>
  <c r="Q332" i="2"/>
  <c r="K333" i="2"/>
  <c r="K334" i="2"/>
  <c r="K332" i="2"/>
  <c r="N333" i="2"/>
  <c r="N334" i="2"/>
  <c r="N332" i="2"/>
  <c r="AP296" i="2"/>
  <c r="AP295" i="2"/>
  <c r="AM296" i="2"/>
  <c r="AM295" i="2"/>
  <c r="W296" i="2"/>
  <c r="W295" i="2"/>
  <c r="T296" i="2"/>
  <c r="T295" i="2"/>
  <c r="AI296" i="2"/>
  <c r="AI295" i="2"/>
  <c r="Q296" i="2"/>
  <c r="Q295" i="2"/>
  <c r="N296" i="2"/>
  <c r="N295" i="2"/>
  <c r="K296" i="2"/>
  <c r="K295" i="2"/>
  <c r="AM293" i="2"/>
  <c r="AM292" i="2"/>
  <c r="AM291" i="2"/>
  <c r="AM290" i="2"/>
  <c r="AI290" i="2"/>
  <c r="AP293" i="2"/>
  <c r="AP292" i="2"/>
  <c r="AP291" i="2"/>
  <c r="AP290" i="2"/>
  <c r="W293" i="2"/>
  <c r="W292" i="2"/>
  <c r="W291" i="2"/>
  <c r="W290" i="2"/>
  <c r="T293" i="2"/>
  <c r="T292" i="2"/>
  <c r="T291" i="2"/>
  <c r="T290" i="2"/>
  <c r="Q293" i="2"/>
  <c r="Q292" i="2"/>
  <c r="Q291" i="2"/>
  <c r="Q290" i="2"/>
  <c r="N293" i="2"/>
  <c r="N292" i="2"/>
  <c r="N291" i="2"/>
  <c r="N290" i="2"/>
  <c r="K291" i="2"/>
  <c r="K292" i="2"/>
  <c r="K293" i="2"/>
  <c r="K290" i="2"/>
  <c r="AP279" i="2"/>
  <c r="AP259" i="2"/>
  <c r="AM279" i="2"/>
  <c r="AM259" i="2"/>
  <c r="AM257" i="2"/>
  <c r="AM256" i="2"/>
  <c r="AM255" i="2"/>
  <c r="AI256" i="2"/>
  <c r="AI257" i="2"/>
  <c r="AI259" i="2"/>
  <c r="AI279" i="2"/>
  <c r="AI255" i="2"/>
  <c r="W256" i="2"/>
  <c r="W257" i="2"/>
  <c r="W259" i="2"/>
  <c r="W279" i="2"/>
  <c r="W255" i="2"/>
  <c r="T256" i="2"/>
  <c r="T257" i="2"/>
  <c r="T259" i="2"/>
  <c r="T279" i="2"/>
  <c r="T255" i="2"/>
  <c r="Q256" i="2"/>
  <c r="Q257" i="2"/>
  <c r="Q259" i="2"/>
  <c r="Q279" i="2"/>
  <c r="Q255" i="2"/>
  <c r="N256" i="2"/>
  <c r="N257" i="2"/>
  <c r="N259" i="2"/>
  <c r="N279" i="2"/>
  <c r="N255" i="2"/>
  <c r="K256" i="2"/>
  <c r="K257" i="2"/>
  <c r="K259" i="2"/>
  <c r="K279" i="2"/>
  <c r="K255" i="2"/>
  <c r="AM241" i="2"/>
  <c r="AM245" i="2"/>
  <c r="AM240" i="2"/>
  <c r="AM248" i="2"/>
  <c r="AM250" i="2"/>
  <c r="AM247" i="2"/>
  <c r="AI248" i="2"/>
  <c r="AI250" i="2"/>
  <c r="AI247" i="2"/>
  <c r="AP248" i="2"/>
  <c r="AP250" i="2"/>
  <c r="AP247" i="2"/>
  <c r="W248" i="2"/>
  <c r="W250" i="2"/>
  <c r="W247" i="2"/>
  <c r="T248" i="2"/>
  <c r="T250" i="2"/>
  <c r="T247" i="2"/>
  <c r="Q248" i="2"/>
  <c r="Q250" i="2"/>
  <c r="Q247" i="2"/>
  <c r="N248" i="2"/>
  <c r="N250" i="2"/>
  <c r="N247" i="2"/>
  <c r="K248" i="2"/>
  <c r="K250" i="2"/>
  <c r="K247" i="2"/>
  <c r="W241" i="2"/>
  <c r="W245" i="2"/>
  <c r="W240" i="2"/>
  <c r="T241" i="2"/>
  <c r="T245" i="2"/>
  <c r="T240" i="2"/>
  <c r="AP245" i="2"/>
  <c r="AP241" i="2"/>
  <c r="AP240" i="2"/>
  <c r="Q241" i="2"/>
  <c r="Q245" i="2"/>
  <c r="Q240" i="2"/>
  <c r="N241" i="2"/>
  <c r="N245" i="2"/>
  <c r="N240" i="2"/>
  <c r="K241" i="2"/>
  <c r="K245" i="2"/>
  <c r="K240" i="2"/>
  <c r="AP238" i="2"/>
  <c r="AP237" i="2"/>
  <c r="AP236" i="2"/>
  <c r="AP235" i="2"/>
  <c r="W238" i="2"/>
  <c r="W237" i="2"/>
  <c r="W236" i="2"/>
  <c r="W235" i="2"/>
  <c r="T238" i="2"/>
  <c r="T237" i="2"/>
  <c r="T236" i="2"/>
  <c r="T235" i="2"/>
  <c r="Q238" i="2"/>
  <c r="Q237" i="2"/>
  <c r="Q236" i="2"/>
  <c r="Q235" i="2"/>
  <c r="N238" i="2"/>
  <c r="N237" i="2"/>
  <c r="N236" i="2"/>
  <c r="N235" i="2"/>
  <c r="AP226" i="2"/>
  <c r="AP225" i="2"/>
  <c r="AI226" i="2"/>
  <c r="AI225" i="2"/>
  <c r="W226" i="2"/>
  <c r="W225" i="2"/>
  <c r="T226" i="2"/>
  <c r="T225" i="2"/>
  <c r="Q226" i="2"/>
  <c r="Q225" i="2"/>
  <c r="N226" i="2"/>
  <c r="N225" i="2"/>
  <c r="K226" i="2"/>
  <c r="K225" i="2"/>
  <c r="AP220" i="2"/>
  <c r="AP221" i="2"/>
  <c r="AP223" i="2"/>
  <c r="AP219" i="2"/>
  <c r="AI220" i="2"/>
  <c r="AI221" i="2"/>
  <c r="AI223" i="2"/>
  <c r="W220" i="2"/>
  <c r="W221" i="2"/>
  <c r="W223" i="2"/>
  <c r="W219" i="2"/>
  <c r="T220" i="2"/>
  <c r="T221" i="2"/>
  <c r="T223" i="2"/>
  <c r="T219" i="2"/>
  <c r="Q220" i="2"/>
  <c r="Q221" i="2"/>
  <c r="Q223" i="2"/>
  <c r="Q219" i="2"/>
  <c r="N220" i="2"/>
  <c r="N221" i="2"/>
  <c r="N223" i="2"/>
  <c r="K220" i="2"/>
  <c r="K221" i="2"/>
  <c r="K223" i="2"/>
  <c r="K219" i="2"/>
  <c r="AP195" i="2"/>
  <c r="AI196" i="2"/>
  <c r="AI197" i="2"/>
  <c r="AI195" i="2"/>
  <c r="W196" i="2"/>
  <c r="W197" i="2"/>
  <c r="W195" i="2"/>
  <c r="T196" i="2"/>
  <c r="T197" i="2"/>
  <c r="T195" i="2"/>
  <c r="Q196" i="2"/>
  <c r="Q197" i="2"/>
  <c r="Q195" i="2"/>
  <c r="N196" i="2"/>
  <c r="N197" i="2"/>
  <c r="N195" i="2"/>
  <c r="K196" i="2"/>
  <c r="K197" i="2"/>
  <c r="K195" i="2"/>
  <c r="AM190" i="2"/>
  <c r="AM191" i="2"/>
  <c r="AM189" i="2"/>
  <c r="AI190" i="2"/>
  <c r="AI191" i="2"/>
  <c r="AI189" i="2"/>
  <c r="W190" i="2"/>
  <c r="W191" i="2"/>
  <c r="W189" i="2"/>
  <c r="T190" i="2"/>
  <c r="T191" i="2"/>
  <c r="T189" i="2"/>
  <c r="Q190" i="2"/>
  <c r="Q191" i="2"/>
  <c r="Q189" i="2"/>
  <c r="N190" i="2"/>
  <c r="N191" i="2"/>
  <c r="N189" i="2"/>
  <c r="K190" i="2"/>
  <c r="K191" i="2"/>
  <c r="K189" i="2"/>
  <c r="AM125" i="2"/>
  <c r="AM123" i="2"/>
  <c r="AM127" i="2"/>
  <c r="AM128" i="2"/>
  <c r="AM122" i="2"/>
  <c r="AP123" i="2"/>
  <c r="AP124" i="2"/>
  <c r="AP125" i="2"/>
  <c r="AP127" i="2"/>
  <c r="AP128" i="2"/>
  <c r="AP122" i="2"/>
  <c r="AI123" i="2"/>
  <c r="AI124" i="2"/>
  <c r="AI125" i="2"/>
  <c r="AI127" i="2"/>
  <c r="AI128" i="2"/>
  <c r="AI122" i="2"/>
  <c r="W123" i="2"/>
  <c r="W124" i="2"/>
  <c r="W125" i="2"/>
  <c r="W127" i="2"/>
  <c r="W128" i="2"/>
  <c r="W122" i="2"/>
  <c r="T123" i="2"/>
  <c r="T124" i="2"/>
  <c r="T125" i="2"/>
  <c r="T127" i="2"/>
  <c r="T128" i="2"/>
  <c r="T122" i="2"/>
  <c r="Q123" i="2"/>
  <c r="Q124" i="2"/>
  <c r="Q125" i="2"/>
  <c r="Q127" i="2"/>
  <c r="Q128" i="2"/>
  <c r="Q122" i="2"/>
  <c r="N123" i="2"/>
  <c r="N124" i="2"/>
  <c r="N125" i="2"/>
  <c r="N127" i="2"/>
  <c r="N128" i="2"/>
  <c r="N122" i="2"/>
  <c r="K123" i="2"/>
  <c r="K124" i="2"/>
  <c r="K125" i="2"/>
  <c r="K127" i="2"/>
  <c r="K128" i="2"/>
  <c r="K122" i="2"/>
  <c r="AM120" i="2"/>
  <c r="AM119" i="2"/>
  <c r="AM118" i="2"/>
  <c r="AP118" i="2"/>
  <c r="AP119" i="2"/>
  <c r="AP120" i="2"/>
  <c r="AP117" i="2"/>
  <c r="AI120" i="2"/>
  <c r="W118" i="2"/>
  <c r="W119" i="2"/>
  <c r="W120" i="2"/>
  <c r="W117" i="2"/>
  <c r="T118" i="2"/>
  <c r="T119" i="2"/>
  <c r="T120" i="2"/>
  <c r="T117" i="2"/>
  <c r="Q118" i="2"/>
  <c r="Q119" i="2"/>
  <c r="Q120" i="2"/>
  <c r="Q117" i="2"/>
  <c r="N118" i="2"/>
  <c r="N119" i="2"/>
  <c r="N120" i="2"/>
  <c r="N117" i="2"/>
  <c r="K118" i="2"/>
  <c r="K119" i="2"/>
  <c r="K120" i="2"/>
  <c r="K117" i="2"/>
  <c r="AM34" i="2"/>
  <c r="AM33" i="2"/>
  <c r="AI33" i="2"/>
  <c r="W34" i="2"/>
  <c r="W33" i="2"/>
  <c r="T34" i="2"/>
  <c r="T33" i="2"/>
  <c r="Q34" i="2"/>
  <c r="Q33" i="2"/>
  <c r="N33" i="2"/>
  <c r="K34" i="2"/>
  <c r="K33" i="2"/>
  <c r="AP18" i="2"/>
  <c r="AI18" i="2"/>
  <c r="AI17" i="2"/>
  <c r="W18" i="2"/>
  <c r="W17" i="2"/>
  <c r="AM13" i="2"/>
  <c r="AM14" i="2"/>
  <c r="AM15" i="2"/>
  <c r="AM12" i="2"/>
  <c r="AI13" i="2"/>
  <c r="AI14" i="2"/>
  <c r="AI15" i="2"/>
  <c r="AI12" i="2"/>
  <c r="AP13" i="2"/>
  <c r="AP14" i="2"/>
  <c r="AP15" i="2"/>
  <c r="AP12" i="2"/>
  <c r="AM117" i="2"/>
  <c r="AM124" i="2"/>
  <c r="AI219" i="2"/>
  <c r="U34" i="3"/>
  <c r="N32" i="2"/>
  <c r="M254" i="2"/>
  <c r="W24" i="2"/>
  <c r="K18" i="2"/>
  <c r="K17" i="2"/>
  <c r="I234" i="2"/>
  <c r="K236" i="2"/>
  <c r="AD236" i="2"/>
  <c r="AD237" i="2"/>
  <c r="K237" i="2"/>
  <c r="AD235" i="2"/>
  <c r="AD238" i="2"/>
  <c r="K238" i="2"/>
  <c r="K235" i="2"/>
  <c r="AD248" i="2"/>
  <c r="AC248" i="2"/>
  <c r="AD247" i="2"/>
  <c r="AD250" i="2"/>
  <c r="AC250" i="2"/>
  <c r="AC247" i="2"/>
  <c r="AN254" i="2"/>
  <c r="AP255" i="2"/>
  <c r="AP256" i="2"/>
  <c r="AP257" i="2"/>
  <c r="AO254" i="2"/>
  <c r="O9" i="3" l="1"/>
  <c r="L20" i="3"/>
  <c r="K303" i="2"/>
  <c r="T39" i="3"/>
  <c r="Q303" i="2"/>
  <c r="U52" i="3"/>
  <c r="AB399" i="2"/>
  <c r="X399" i="2"/>
  <c r="AK399" i="2"/>
  <c r="N30" i="3" s="1"/>
  <c r="AH399" i="2"/>
  <c r="K30" i="3" s="1"/>
  <c r="V399" i="2"/>
  <c r="AG399" i="2"/>
  <c r="J30" i="3" s="1"/>
  <c r="J399" i="2"/>
  <c r="AJ399" i="2"/>
  <c r="M30" i="3" s="1"/>
  <c r="L399" i="2"/>
  <c r="M399" i="2"/>
  <c r="AO399" i="2"/>
  <c r="Q30" i="3" s="1"/>
  <c r="O399" i="2"/>
  <c r="P399" i="2"/>
  <c r="I399" i="2"/>
  <c r="R399" i="2"/>
  <c r="Y399" i="2"/>
  <c r="S399" i="2"/>
  <c r="U399" i="2"/>
  <c r="AA399" i="2"/>
  <c r="AB364" i="2"/>
  <c r="V364" i="2"/>
  <c r="AG364" i="2"/>
  <c r="J29" i="3" s="1"/>
  <c r="AA364" i="2"/>
  <c r="AN364" i="2"/>
  <c r="P29" i="3" s="1"/>
  <c r="J364" i="2"/>
  <c r="AH364" i="2"/>
  <c r="K29" i="3" s="1"/>
  <c r="AO364" i="2"/>
  <c r="Q29" i="3" s="1"/>
  <c r="L364" i="2"/>
  <c r="M364" i="2"/>
  <c r="O364" i="2"/>
  <c r="P364" i="2"/>
  <c r="R364" i="2"/>
  <c r="S364" i="2"/>
  <c r="Y364" i="2"/>
  <c r="I364" i="2"/>
  <c r="U364" i="2"/>
  <c r="X364" i="2"/>
  <c r="AJ364" i="2"/>
  <c r="M29" i="3" s="1"/>
  <c r="Y328" i="2"/>
  <c r="AG328" i="2"/>
  <c r="J28" i="3" s="1"/>
  <c r="L328" i="2"/>
  <c r="AH328" i="2"/>
  <c r="K28" i="3" s="1"/>
  <c r="M328" i="2"/>
  <c r="AB328" i="2"/>
  <c r="AJ328" i="2"/>
  <c r="M28" i="3" s="1"/>
  <c r="O328" i="2"/>
  <c r="J328" i="2"/>
  <c r="AK328" i="2"/>
  <c r="N28" i="3" s="1"/>
  <c r="P328" i="2"/>
  <c r="R328" i="2"/>
  <c r="S328" i="2"/>
  <c r="U328" i="2"/>
  <c r="AA328" i="2"/>
  <c r="V328" i="2"/>
  <c r="X328" i="2"/>
  <c r="AN328" i="2"/>
  <c r="P28" i="3" s="1"/>
  <c r="I328" i="2"/>
  <c r="AO328" i="2"/>
  <c r="Q28" i="3" s="1"/>
  <c r="AO280" i="2"/>
  <c r="Q22" i="3" s="1"/>
  <c r="AH280" i="2"/>
  <c r="K22" i="3" s="1"/>
  <c r="AK280" i="2"/>
  <c r="L280" i="2"/>
  <c r="V280" i="2"/>
  <c r="I280" i="2"/>
  <c r="S280" i="2"/>
  <c r="AB280" i="2"/>
  <c r="Y280" i="2"/>
  <c r="AA280" i="2"/>
  <c r="M280" i="2"/>
  <c r="AJ280" i="2"/>
  <c r="M22" i="3" s="1"/>
  <c r="J280" i="2"/>
  <c r="O280" i="2"/>
  <c r="P280" i="2"/>
  <c r="R280" i="2"/>
  <c r="U280" i="2"/>
  <c r="X280" i="2"/>
  <c r="AG280" i="2"/>
  <c r="J22" i="3" s="1"/>
  <c r="S135" i="2"/>
  <c r="P135" i="2"/>
  <c r="P180" i="2" s="1"/>
  <c r="AB251" i="2"/>
  <c r="AO251" i="2"/>
  <c r="Q21" i="3" s="1"/>
  <c r="V251" i="2"/>
  <c r="X251" i="2"/>
  <c r="AG251" i="2"/>
  <c r="J21" i="3" s="1"/>
  <c r="M251" i="2"/>
  <c r="O251" i="2"/>
  <c r="AN251" i="2"/>
  <c r="P21" i="3" s="1"/>
  <c r="I251" i="2"/>
  <c r="AJ251" i="2"/>
  <c r="M21" i="3" s="1"/>
  <c r="O21" i="3" s="1"/>
  <c r="J251" i="2"/>
  <c r="AK251" i="2"/>
  <c r="L251" i="2"/>
  <c r="P251" i="2"/>
  <c r="R251" i="2"/>
  <c r="Y251" i="2"/>
  <c r="S251" i="2"/>
  <c r="AA251" i="2"/>
  <c r="U251" i="2"/>
  <c r="AP222" i="2"/>
  <c r="AN231" i="2"/>
  <c r="P20" i="3" s="1"/>
  <c r="AC222" i="2"/>
  <c r="AA231" i="2"/>
  <c r="Z222" i="2"/>
  <c r="X231" i="2"/>
  <c r="K222" i="2"/>
  <c r="I231" i="2"/>
  <c r="AI222" i="2"/>
  <c r="W207" i="2"/>
  <c r="T207" i="2"/>
  <c r="T218" i="2"/>
  <c r="AM207" i="2"/>
  <c r="N222" i="2"/>
  <c r="Q222" i="2"/>
  <c r="R113" i="2"/>
  <c r="AI207" i="2"/>
  <c r="Z207" i="2"/>
  <c r="AP207" i="2"/>
  <c r="AC207" i="2"/>
  <c r="AD207" i="2"/>
  <c r="K207" i="2"/>
  <c r="AE207" i="2"/>
  <c r="N207" i="2"/>
  <c r="Q207" i="2"/>
  <c r="Q201" i="2"/>
  <c r="N201" i="2"/>
  <c r="T201" i="2"/>
  <c r="AC201" i="2"/>
  <c r="W201" i="2"/>
  <c r="AI201" i="2"/>
  <c r="AM201" i="2"/>
  <c r="AP201" i="2"/>
  <c r="AF29" i="2"/>
  <c r="AQ29" i="2" s="1"/>
  <c r="V135" i="2"/>
  <c r="V180" i="2" s="1"/>
  <c r="S113" i="2"/>
  <c r="AG135" i="2"/>
  <c r="J10" i="3" s="1"/>
  <c r="AO135" i="2"/>
  <c r="Q10" i="3" s="1"/>
  <c r="AN135" i="2"/>
  <c r="AA135" i="2"/>
  <c r="AA180" i="2" s="1"/>
  <c r="X135" i="2"/>
  <c r="X180" i="2" s="1"/>
  <c r="AK135" i="2"/>
  <c r="U135" i="2"/>
  <c r="U180" i="2" s="1"/>
  <c r="AJ135" i="2"/>
  <c r="R135" i="2"/>
  <c r="O135" i="2"/>
  <c r="O180" i="2" s="1"/>
  <c r="AB135" i="2"/>
  <c r="L135" i="2"/>
  <c r="L180" i="2" s="1"/>
  <c r="Y135" i="2"/>
  <c r="Y180" i="2" s="1"/>
  <c r="M135" i="2"/>
  <c r="M180" i="2" s="1"/>
  <c r="J135" i="2"/>
  <c r="J180" i="2" s="1"/>
  <c r="I135" i="2"/>
  <c r="I180" i="2" s="1"/>
  <c r="AM224" i="2"/>
  <c r="K573" i="2"/>
  <c r="AF348" i="2"/>
  <c r="AQ348" i="2" s="1"/>
  <c r="AP11" i="2"/>
  <c r="AM349" i="2"/>
  <c r="Z582" i="2"/>
  <c r="AI224" i="2"/>
  <c r="K582" i="2"/>
  <c r="AF117" i="2"/>
  <c r="AQ117" i="2" s="1"/>
  <c r="Z246" i="2"/>
  <c r="Z303" i="2"/>
  <c r="T573" i="2"/>
  <c r="AG32" i="2"/>
  <c r="AI32" i="2" s="1"/>
  <c r="Z289" i="2"/>
  <c r="AC276" i="2"/>
  <c r="AI11" i="2"/>
  <c r="Z338" i="2"/>
  <c r="Q367" i="2"/>
  <c r="T576" i="2"/>
  <c r="AI576" i="2"/>
  <c r="Z218" i="2"/>
  <c r="AC320" i="2"/>
  <c r="N258" i="2"/>
  <c r="T338" i="2"/>
  <c r="AC308" i="2"/>
  <c r="Z188" i="2"/>
  <c r="AF577" i="2"/>
  <c r="AQ577" i="2" s="1"/>
  <c r="Q11" i="2"/>
  <c r="Z258" i="2"/>
  <c r="T11" i="2"/>
  <c r="AF235" i="2"/>
  <c r="AQ235" i="2" s="1"/>
  <c r="W254" i="2"/>
  <c r="K270" i="2"/>
  <c r="AM573" i="2"/>
  <c r="AC239" i="2"/>
  <c r="AM338" i="2"/>
  <c r="AH584" i="2"/>
  <c r="W576" i="2"/>
  <c r="W289" i="2"/>
  <c r="Z331" i="2"/>
  <c r="AF118" i="2"/>
  <c r="AQ118" i="2" s="1"/>
  <c r="Z239" i="2"/>
  <c r="AF341" i="2"/>
  <c r="AQ341" i="2" s="1"/>
  <c r="AF345" i="2"/>
  <c r="AQ345" i="2" s="1"/>
  <c r="AF322" i="2"/>
  <c r="AQ322" i="2" s="1"/>
  <c r="AP218" i="2"/>
  <c r="T239" i="2"/>
  <c r="T582" i="2"/>
  <c r="AI129" i="2"/>
  <c r="K267" i="2"/>
  <c r="AF580" i="2"/>
  <c r="AQ580" i="2" s="1"/>
  <c r="K335" i="2"/>
  <c r="AF26" i="2"/>
  <c r="AQ26" i="2" s="1"/>
  <c r="Q331" i="2"/>
  <c r="W11" i="2"/>
  <c r="AP568" i="2"/>
  <c r="AC367" i="2"/>
  <c r="AM335" i="2"/>
  <c r="T276" i="2"/>
  <c r="AP270" i="2"/>
  <c r="W582" i="2"/>
  <c r="AF278" i="2"/>
  <c r="AQ278" i="2" s="1"/>
  <c r="Q573" i="2"/>
  <c r="Q299" i="2"/>
  <c r="AI320" i="2"/>
  <c r="AI325" i="2"/>
  <c r="N338" i="2"/>
  <c r="AP367" i="2"/>
  <c r="Z568" i="2"/>
  <c r="AF226" i="2"/>
  <c r="AQ226" i="2" s="1"/>
  <c r="AM276" i="2"/>
  <c r="AP573" i="2"/>
  <c r="AF312" i="2"/>
  <c r="AQ312" i="2" s="1"/>
  <c r="AI276" i="2"/>
  <c r="AI270" i="2"/>
  <c r="AM294" i="2"/>
  <c r="AP303" i="2"/>
  <c r="N320" i="2"/>
  <c r="N325" i="2"/>
  <c r="T342" i="2"/>
  <c r="T367" i="2"/>
  <c r="Z373" i="2"/>
  <c r="AF571" i="2"/>
  <c r="AQ571" i="2" s="1"/>
  <c r="AP17" i="2"/>
  <c r="AO16" i="2"/>
  <c r="AO113" i="2" s="1"/>
  <c r="Q9" i="3" s="1"/>
  <c r="R9" i="3" s="1"/>
  <c r="W320" i="2"/>
  <c r="W325" i="2"/>
  <c r="AI338" i="2"/>
  <c r="AP342" i="2"/>
  <c r="AI367" i="2"/>
  <c r="AF384" i="2"/>
  <c r="AQ384" i="2" s="1"/>
  <c r="T289" i="2"/>
  <c r="AM373" i="2"/>
  <c r="AF227" i="2"/>
  <c r="AQ227" i="2" s="1"/>
  <c r="W568" i="2"/>
  <c r="K218" i="2"/>
  <c r="Q254" i="2"/>
  <c r="AM320" i="2"/>
  <c r="AF321" i="2"/>
  <c r="AQ321" i="2" s="1"/>
  <c r="AM325" i="2"/>
  <c r="X584" i="2"/>
  <c r="X642" i="2" s="1"/>
  <c r="AF257" i="2"/>
  <c r="AQ257" i="2" s="1"/>
  <c r="AC568" i="2"/>
  <c r="W246" i="2"/>
  <c r="AC270" i="2"/>
  <c r="AF236" i="2"/>
  <c r="AQ236" i="2" s="1"/>
  <c r="AC338" i="2"/>
  <c r="Z11" i="2"/>
  <c r="W32" i="2"/>
  <c r="AI303" i="2"/>
  <c r="AP338" i="2"/>
  <c r="Q582" i="2"/>
  <c r="N367" i="2"/>
  <c r="AO584" i="2"/>
  <c r="Q40" i="3" s="1"/>
  <c r="Q43" i="3" s="1"/>
  <c r="Q276" i="2"/>
  <c r="N218" i="2"/>
  <c r="AI349" i="2"/>
  <c r="AF302" i="2"/>
  <c r="AQ302" i="2" s="1"/>
  <c r="AP308" i="2"/>
  <c r="Q218" i="2"/>
  <c r="Z299" i="2"/>
  <c r="Z224" i="2"/>
  <c r="AF296" i="2"/>
  <c r="AQ296" i="2" s="1"/>
  <c r="K188" i="2"/>
  <c r="AF578" i="2"/>
  <c r="AQ578" i="2" s="1"/>
  <c r="AI246" i="2"/>
  <c r="K331" i="2"/>
  <c r="AP331" i="2"/>
  <c r="AI335" i="2"/>
  <c r="W373" i="2"/>
  <c r="AM582" i="2"/>
  <c r="AI188" i="2"/>
  <c r="AM270" i="2"/>
  <c r="N16" i="2"/>
  <c r="AC349" i="2"/>
  <c r="AF237" i="2"/>
  <c r="T254" i="2"/>
  <c r="N294" i="2"/>
  <c r="W299" i="2"/>
  <c r="N308" i="2"/>
  <c r="AP320" i="2"/>
  <c r="AP325" i="2"/>
  <c r="AF372" i="2"/>
  <c r="AQ372" i="2" s="1"/>
  <c r="AF277" i="2"/>
  <c r="AQ277" i="2" s="1"/>
  <c r="AF305" i="2"/>
  <c r="AQ305" i="2" s="1"/>
  <c r="AF326" i="2"/>
  <c r="AQ326" i="2" s="1"/>
  <c r="AF569" i="2"/>
  <c r="AQ569" i="2" s="1"/>
  <c r="T568" i="2"/>
  <c r="AF195" i="2"/>
  <c r="AQ195" i="2" s="1"/>
  <c r="AF307" i="2"/>
  <c r="AQ307" i="2" s="1"/>
  <c r="AF337" i="2"/>
  <c r="AQ337" i="2" s="1"/>
  <c r="AF357" i="2"/>
  <c r="AQ357" i="2" s="1"/>
  <c r="AF395" i="2"/>
  <c r="AQ395" i="2" s="1"/>
  <c r="AP373" i="2"/>
  <c r="AF275" i="2"/>
  <c r="AQ275" i="2" s="1"/>
  <c r="AM258" i="2"/>
  <c r="T294" i="2"/>
  <c r="K299" i="2"/>
  <c r="W303" i="2"/>
  <c r="W308" i="2"/>
  <c r="AF358" i="2"/>
  <c r="AQ358" i="2" s="1"/>
  <c r="AF370" i="2"/>
  <c r="AQ370" i="2" s="1"/>
  <c r="AF398" i="2"/>
  <c r="AQ398" i="2" s="1"/>
  <c r="Q246" i="2"/>
  <c r="T331" i="2"/>
  <c r="Q335" i="2"/>
  <c r="Q258" i="2"/>
  <c r="K276" i="2"/>
  <c r="W270" i="2"/>
  <c r="N116" i="2"/>
  <c r="AF319" i="2"/>
  <c r="AQ319" i="2" s="1"/>
  <c r="AF346" i="2"/>
  <c r="AQ346" i="2" s="1"/>
  <c r="AF223" i="2"/>
  <c r="AQ223" i="2" s="1"/>
  <c r="AF230" i="2"/>
  <c r="AQ230" i="2" s="1"/>
  <c r="AF351" i="2"/>
  <c r="AQ351" i="2" s="1"/>
  <c r="W129" i="2"/>
  <c r="AC116" i="2"/>
  <c r="Q373" i="2"/>
  <c r="AF17" i="2"/>
  <c r="K254" i="2"/>
  <c r="AM254" i="2"/>
  <c r="T258" i="2"/>
  <c r="N276" i="2"/>
  <c r="AF333" i="2"/>
  <c r="AQ333" i="2" s="1"/>
  <c r="T188" i="2"/>
  <c r="AM188" i="2"/>
  <c r="Q224" i="2"/>
  <c r="Q234" i="2"/>
  <c r="AF334" i="2"/>
  <c r="AQ334" i="2" s="1"/>
  <c r="AM116" i="2"/>
  <c r="K32" i="2"/>
  <c r="AC573" i="2"/>
  <c r="Z32" i="2"/>
  <c r="AF363" i="2"/>
  <c r="AQ363" i="2" s="1"/>
  <c r="Z294" i="2"/>
  <c r="K268" i="2"/>
  <c r="Q16" i="2"/>
  <c r="AF221" i="2"/>
  <c r="AQ221" i="2" s="1"/>
  <c r="AF228" i="2"/>
  <c r="AQ228" i="2" s="1"/>
  <c r="AF241" i="2"/>
  <c r="AQ241" i="2" s="1"/>
  <c r="Z129" i="2"/>
  <c r="AM331" i="2"/>
  <c r="AF124" i="2"/>
  <c r="AQ124" i="2" s="1"/>
  <c r="AM16" i="2"/>
  <c r="AC218" i="2"/>
  <c r="AC258" i="2"/>
  <c r="Q320" i="2"/>
  <c r="Q325" i="2"/>
  <c r="AC335" i="2"/>
  <c r="Z234" i="2"/>
  <c r="AM239" i="2"/>
  <c r="AF128" i="2"/>
  <c r="AQ128" i="2" s="1"/>
  <c r="AF310" i="2"/>
  <c r="AQ310" i="2" s="1"/>
  <c r="T320" i="2"/>
  <c r="T325" i="2"/>
  <c r="W342" i="2"/>
  <c r="AF369" i="2"/>
  <c r="AQ369" i="2" s="1"/>
  <c r="AF575" i="2"/>
  <c r="AQ575" i="2" s="1"/>
  <c r="N129" i="2"/>
  <c r="T116" i="2"/>
  <c r="N373" i="2"/>
  <c r="T349" i="2"/>
  <c r="AF27" i="2"/>
  <c r="AQ27" i="2" s="1"/>
  <c r="AF125" i="2"/>
  <c r="AQ125" i="2" s="1"/>
  <c r="AF134" i="2"/>
  <c r="AQ134" i="2" s="1"/>
  <c r="AF297" i="2"/>
  <c r="AQ297" i="2" s="1"/>
  <c r="AE303" i="2"/>
  <c r="N342" i="2"/>
  <c r="AM568" i="2"/>
  <c r="K116" i="2"/>
  <c r="N11" i="2"/>
  <c r="AF347" i="2"/>
  <c r="AQ347" i="2" s="1"/>
  <c r="AF214" i="2"/>
  <c r="AQ214" i="2" s="1"/>
  <c r="AF311" i="2"/>
  <c r="AQ311" i="2" s="1"/>
  <c r="AF340" i="2"/>
  <c r="AQ340" i="2" s="1"/>
  <c r="AF344" i="2"/>
  <c r="AQ344" i="2" s="1"/>
  <c r="I584" i="2"/>
  <c r="I642" i="2" s="1"/>
  <c r="Z276" i="2"/>
  <c r="W349" i="2"/>
  <c r="W224" i="2"/>
  <c r="AD234" i="2"/>
  <c r="AF255" i="2"/>
  <c r="AQ255" i="2" s="1"/>
  <c r="AF292" i="2"/>
  <c r="AQ292" i="2" s="1"/>
  <c r="AP289" i="2"/>
  <c r="AF192" i="2"/>
  <c r="AF193" i="2"/>
  <c r="AM234" i="2"/>
  <c r="N270" i="2"/>
  <c r="AP266" i="2"/>
  <c r="N289" i="2"/>
  <c r="AC266" i="2"/>
  <c r="AC373" i="2"/>
  <c r="AC299" i="2"/>
  <c r="Z573" i="2"/>
  <c r="AC254" i="2"/>
  <c r="AC331" i="2"/>
  <c r="AC294" i="2"/>
  <c r="K246" i="2"/>
  <c r="AM246" i="2"/>
  <c r="N331" i="2"/>
  <c r="AP335" i="2"/>
  <c r="AI373" i="2"/>
  <c r="N349" i="2"/>
  <c r="N224" i="2"/>
  <c r="N234" i="2"/>
  <c r="Z254" i="2"/>
  <c r="AF256" i="2"/>
  <c r="AQ256" i="2" s="1"/>
  <c r="AE289" i="2"/>
  <c r="AC234" i="2"/>
  <c r="W116" i="2"/>
  <c r="AM129" i="2"/>
  <c r="Z308" i="2"/>
  <c r="AF130" i="2"/>
  <c r="AQ130" i="2" s="1"/>
  <c r="W188" i="2"/>
  <c r="AF219" i="2"/>
  <c r="AQ219" i="2" s="1"/>
  <c r="AI254" i="2"/>
  <c r="AF260" i="2"/>
  <c r="AF279" i="2"/>
  <c r="AQ279" i="2" s="1"/>
  <c r="W294" i="2"/>
  <c r="AI308" i="2"/>
  <c r="AF386" i="2"/>
  <c r="AQ386" i="2" s="1"/>
  <c r="AF574" i="2"/>
  <c r="AQ574" i="2" s="1"/>
  <c r="AJ584" i="2"/>
  <c r="N246" i="2"/>
  <c r="N335" i="2"/>
  <c r="AF131" i="2"/>
  <c r="AQ131" i="2" s="1"/>
  <c r="AF220" i="2"/>
  <c r="AQ220" i="2" s="1"/>
  <c r="AF261" i="2"/>
  <c r="AQ261" i="2" s="1"/>
  <c r="AF392" i="2"/>
  <c r="AQ392" i="2" s="1"/>
  <c r="O584" i="2"/>
  <c r="O642" i="2" s="1"/>
  <c r="Z367" i="2"/>
  <c r="T270" i="2"/>
  <c r="N576" i="2"/>
  <c r="AF359" i="2"/>
  <c r="AQ359" i="2" s="1"/>
  <c r="AI258" i="2"/>
  <c r="AH239" i="2"/>
  <c r="AI239" i="2" s="1"/>
  <c r="Q239" i="2"/>
  <c r="N24" i="2"/>
  <c r="AF250" i="2"/>
  <c r="AQ250" i="2" s="1"/>
  <c r="AP116" i="2"/>
  <c r="AF33" i="2"/>
  <c r="AQ33" i="2" s="1"/>
  <c r="AM303" i="2"/>
  <c r="AM308" i="2"/>
  <c r="K325" i="2"/>
  <c r="AF368" i="2"/>
  <c r="AQ368" i="2" s="1"/>
  <c r="AP582" i="2"/>
  <c r="AC16" i="2"/>
  <c r="AP254" i="2"/>
  <c r="AF247" i="2"/>
  <c r="AQ247" i="2" s="1"/>
  <c r="Q289" i="2"/>
  <c r="K269" i="2"/>
  <c r="AM266" i="2"/>
  <c r="Z270" i="2"/>
  <c r="Z335" i="2"/>
  <c r="AC32" i="2"/>
  <c r="W335" i="2"/>
  <c r="T373" i="2"/>
  <c r="AI582" i="2"/>
  <c r="AF25" i="2"/>
  <c r="AQ25" i="2" s="1"/>
  <c r="K234" i="2"/>
  <c r="AP234" i="2"/>
  <c r="AF240" i="2"/>
  <c r="AI266" i="2"/>
  <c r="AD276" i="2"/>
  <c r="AM576" i="2"/>
  <c r="AF579" i="2"/>
  <c r="AQ579" i="2" s="1"/>
  <c r="AF291" i="2"/>
  <c r="AQ291" i="2" s="1"/>
  <c r="AD573" i="2"/>
  <c r="R584" i="2"/>
  <c r="R642" i="2" s="1"/>
  <c r="AC129" i="2"/>
  <c r="AP24" i="2"/>
  <c r="AF324" i="2"/>
  <c r="AQ324" i="2" s="1"/>
  <c r="AK584" i="2"/>
  <c r="S584" i="2"/>
  <c r="S642" i="2" s="1"/>
  <c r="AF290" i="2"/>
  <c r="AQ290" i="2" s="1"/>
  <c r="Q116" i="2"/>
  <c r="AF225" i="2"/>
  <c r="AQ225" i="2" s="1"/>
  <c r="T303" i="2"/>
  <c r="T308" i="2"/>
  <c r="AF309" i="2"/>
  <c r="AQ309" i="2" s="1"/>
  <c r="W338" i="2"/>
  <c r="W367" i="2"/>
  <c r="AF393" i="2"/>
  <c r="AQ393" i="2" s="1"/>
  <c r="AF293" i="2"/>
  <c r="AQ293" i="2" s="1"/>
  <c r="AC342" i="2"/>
  <c r="W234" i="2"/>
  <c r="AE258" i="2"/>
  <c r="AQ327" i="2"/>
  <c r="AF339" i="2"/>
  <c r="AQ339" i="2" s="1"/>
  <c r="AF343" i="2"/>
  <c r="AQ343" i="2" s="1"/>
  <c r="AE367" i="2"/>
  <c r="Z342" i="2"/>
  <c r="AF191" i="2"/>
  <c r="K576" i="2"/>
  <c r="AF127" i="2"/>
  <c r="AQ127" i="2" s="1"/>
  <c r="AE254" i="2"/>
  <c r="AD239" i="2"/>
  <c r="AF197" i="2"/>
  <c r="AQ197" i="2" s="1"/>
  <c r="AP276" i="2"/>
  <c r="AE270" i="2"/>
  <c r="AF570" i="2"/>
  <c r="AQ570" i="2" s="1"/>
  <c r="AF583" i="2"/>
  <c r="AQ583" i="2" s="1"/>
  <c r="AI573" i="2"/>
  <c r="AI289" i="2"/>
  <c r="T24" i="2"/>
  <c r="AF248" i="2"/>
  <c r="AQ248" i="2" s="1"/>
  <c r="AF196" i="2"/>
  <c r="AQ196" i="2" s="1"/>
  <c r="AF238" i="2"/>
  <c r="AQ238" i="2" s="1"/>
  <c r="AF122" i="2"/>
  <c r="AQ122" i="2" s="1"/>
  <c r="AF189" i="2"/>
  <c r="T224" i="2"/>
  <c r="T234" i="2"/>
  <c r="AP239" i="2"/>
  <c r="Q270" i="2"/>
  <c r="AF362" i="2"/>
  <c r="AQ362" i="2" s="1"/>
  <c r="J584" i="2"/>
  <c r="J642" i="2" s="1"/>
  <c r="T32" i="2"/>
  <c r="AC224" i="2"/>
  <c r="AC188" i="2"/>
  <c r="AN584" i="2"/>
  <c r="P40" i="3" s="1"/>
  <c r="AD32" i="2"/>
  <c r="N239" i="2"/>
  <c r="AP246" i="2"/>
  <c r="K349" i="2"/>
  <c r="AP349" i="2"/>
  <c r="AF18" i="2"/>
  <c r="AQ18" i="2" s="1"/>
  <c r="AF120" i="2"/>
  <c r="AQ120" i="2" s="1"/>
  <c r="N188" i="2"/>
  <c r="AF259" i="2"/>
  <c r="AQ259" i="2" s="1"/>
  <c r="AF271" i="2"/>
  <c r="AQ271" i="2" s="1"/>
  <c r="AF350" i="2"/>
  <c r="AQ350" i="2" s="1"/>
  <c r="K367" i="2"/>
  <c r="AC15" i="2"/>
  <c r="AE15" i="2"/>
  <c r="AF15" i="2" s="1"/>
  <c r="AQ15" i="2" s="1"/>
  <c r="AQ269" i="2"/>
  <c r="AD246" i="2"/>
  <c r="K224" i="2"/>
  <c r="AF245" i="2"/>
  <c r="AQ245" i="2" s="1"/>
  <c r="AE234" i="2"/>
  <c r="AF190" i="2"/>
  <c r="AQ267" i="2"/>
  <c r="Z116" i="2"/>
  <c r="AC325" i="2"/>
  <c r="AD24" i="2"/>
  <c r="AP576" i="2"/>
  <c r="AE224" i="2"/>
  <c r="AD568" i="2"/>
  <c r="AD129" i="2"/>
  <c r="Q24" i="2"/>
  <c r="Q188" i="2"/>
  <c r="AF265" i="2"/>
  <c r="AQ265" i="2" s="1"/>
  <c r="N568" i="2"/>
  <c r="AL766" i="2"/>
  <c r="AF374" i="2"/>
  <c r="AQ374" i="2" s="1"/>
  <c r="K568" i="2"/>
  <c r="W331" i="2"/>
  <c r="AI331" i="2"/>
  <c r="K239" i="2"/>
  <c r="AG584" i="2"/>
  <c r="AI260" i="2"/>
  <c r="AQ268" i="2"/>
  <c r="AF295" i="2"/>
  <c r="AQ295" i="2" s="1"/>
  <c r="AP299" i="2"/>
  <c r="AF323" i="2"/>
  <c r="AQ323" i="2" s="1"/>
  <c r="AI342" i="2"/>
  <c r="AC303" i="2"/>
  <c r="AE266" i="2"/>
  <c r="AI294" i="2"/>
  <c r="AD331" i="2"/>
  <c r="AD335" i="2"/>
  <c r="AF28" i="2"/>
  <c r="AQ28" i="2" s="1"/>
  <c r="AF123" i="2"/>
  <c r="AQ123" i="2" s="1"/>
  <c r="AP129" i="2"/>
  <c r="AE188" i="2"/>
  <c r="AF355" i="2"/>
  <c r="AQ355" i="2" s="1"/>
  <c r="AD582" i="2"/>
  <c r="AM24" i="2"/>
  <c r="Q294" i="2"/>
  <c r="AP224" i="2"/>
  <c r="AF361" i="2"/>
  <c r="AQ361" i="2" s="1"/>
  <c r="N254" i="2"/>
  <c r="AF298" i="2"/>
  <c r="AQ298" i="2" s="1"/>
  <c r="AF304" i="2"/>
  <c r="AQ304" i="2" s="1"/>
  <c r="AF336" i="2"/>
  <c r="AQ336" i="2" s="1"/>
  <c r="AD338" i="2"/>
  <c r="AD11" i="2"/>
  <c r="AI218" i="2"/>
  <c r="AE239" i="2"/>
  <c r="AM367" i="2"/>
  <c r="T335" i="2"/>
  <c r="AI240" i="2"/>
  <c r="AE331" i="2"/>
  <c r="AE335" i="2"/>
  <c r="AF34" i="2"/>
  <c r="AQ34" i="2" s="1"/>
  <c r="W258" i="2"/>
  <c r="AE276" i="2"/>
  <c r="AM32" i="2"/>
  <c r="AE246" i="2"/>
  <c r="AM11" i="2"/>
  <c r="K308" i="2"/>
  <c r="AD308" i="2"/>
  <c r="AD342" i="2"/>
  <c r="Q342" i="2"/>
  <c r="Z349" i="2"/>
  <c r="AM289" i="2"/>
  <c r="T16" i="2"/>
  <c r="N303" i="2"/>
  <c r="AE320" i="2"/>
  <c r="K320" i="2"/>
  <c r="K258" i="2"/>
  <c r="AE32" i="2"/>
  <c r="AM342" i="2"/>
  <c r="W276" i="2"/>
  <c r="AD349" i="2"/>
  <c r="AD270" i="2"/>
  <c r="N573" i="2"/>
  <c r="AE573" i="2"/>
  <c r="AB584" i="2"/>
  <c r="AB642" i="2" s="1"/>
  <c r="AC582" i="2"/>
  <c r="AC289" i="2"/>
  <c r="Y584" i="2"/>
  <c r="Y642" i="2" s="1"/>
  <c r="Z576" i="2"/>
  <c r="AD576" i="2"/>
  <c r="L584" i="2"/>
  <c r="L642" i="2" s="1"/>
  <c r="K16" i="2"/>
  <c r="AC24" i="2"/>
  <c r="Q338" i="2"/>
  <c r="AM299" i="2"/>
  <c r="V584" i="2"/>
  <c r="V642" i="2" s="1"/>
  <c r="W573" i="2"/>
  <c r="AD289" i="2"/>
  <c r="K289" i="2"/>
  <c r="Z24" i="2"/>
  <c r="Q32" i="2"/>
  <c r="K294" i="2"/>
  <c r="AI237" i="2"/>
  <c r="AH234" i="2"/>
  <c r="AF581" i="2"/>
  <c r="AQ581" i="2" s="1"/>
  <c r="T129" i="2"/>
  <c r="AD116" i="2"/>
  <c r="T299" i="2"/>
  <c r="AD299" i="2"/>
  <c r="W239" i="2"/>
  <c r="AD373" i="2"/>
  <c r="K373" i="2"/>
  <c r="Q349" i="2"/>
  <c r="AE349" i="2"/>
  <c r="AD224" i="2"/>
  <c r="AD294" i="2"/>
  <c r="AI299" i="2"/>
  <c r="AD254" i="2"/>
  <c r="AD266" i="2"/>
  <c r="AF272" i="2"/>
  <c r="AQ272" i="2" s="1"/>
  <c r="AD303" i="2"/>
  <c r="AE325" i="2"/>
  <c r="AE294" i="2"/>
  <c r="N299" i="2"/>
  <c r="AE299" i="2"/>
  <c r="AE308" i="2"/>
  <c r="Q308" i="2"/>
  <c r="AD320" i="2"/>
  <c r="Z320" i="2"/>
  <c r="Z325" i="2"/>
  <c r="AD325" i="2"/>
  <c r="AF332" i="2"/>
  <c r="AQ332" i="2" s="1"/>
  <c r="AE338" i="2"/>
  <c r="K338" i="2"/>
  <c r="AE342" i="2"/>
  <c r="K342" i="2"/>
  <c r="M584" i="2"/>
  <c r="M642" i="2" s="1"/>
  <c r="AE582" i="2"/>
  <c r="N582" i="2"/>
  <c r="AD188" i="2"/>
  <c r="AD258" i="2"/>
  <c r="AD367" i="2"/>
  <c r="Q568" i="2"/>
  <c r="AE568" i="2"/>
  <c r="AI568" i="2"/>
  <c r="Q576" i="2"/>
  <c r="AE576" i="2"/>
  <c r="P584" i="2"/>
  <c r="P642" i="2" s="1"/>
  <c r="AC246" i="2"/>
  <c r="AE129" i="2"/>
  <c r="K129" i="2"/>
  <c r="AP294" i="2"/>
  <c r="AE373" i="2"/>
  <c r="AE24" i="2"/>
  <c r="AA584" i="2"/>
  <c r="AA642" i="2" s="1"/>
  <c r="AC576" i="2"/>
  <c r="AE116" i="2"/>
  <c r="AH119" i="2"/>
  <c r="AI119" i="2" s="1"/>
  <c r="AF119" i="2"/>
  <c r="AN258" i="2"/>
  <c r="AN280" i="2" s="1"/>
  <c r="P22" i="3" s="1"/>
  <c r="K11" i="2"/>
  <c r="Q129" i="2"/>
  <c r="L22" i="3" l="1"/>
  <c r="Q23" i="3"/>
  <c r="E8" i="18" s="1"/>
  <c r="R22" i="3"/>
  <c r="R21" i="3"/>
  <c r="AG642" i="2"/>
  <c r="J40" i="3"/>
  <c r="L30" i="3"/>
  <c r="R20" i="3"/>
  <c r="P23" i="3"/>
  <c r="E7" i="18" s="1"/>
  <c r="AK642" i="2"/>
  <c r="N40" i="3"/>
  <c r="N43" i="3" s="1"/>
  <c r="R40" i="3"/>
  <c r="P43" i="3"/>
  <c r="AJ642" i="2"/>
  <c r="M40" i="3"/>
  <c r="AN180" i="2"/>
  <c r="P10" i="3"/>
  <c r="R29" i="3"/>
  <c r="AJ180" i="2"/>
  <c r="M10" i="3"/>
  <c r="L29" i="3"/>
  <c r="L28" i="3"/>
  <c r="O28" i="3"/>
  <c r="AK180" i="2"/>
  <c r="N10" i="3"/>
  <c r="N13" i="3" s="1"/>
  <c r="R28" i="3"/>
  <c r="O30" i="3"/>
  <c r="Q13" i="3"/>
  <c r="E6" i="18" s="1"/>
  <c r="AH642" i="2"/>
  <c r="K40" i="3"/>
  <c r="K43" i="3" s="1"/>
  <c r="AD584" i="2"/>
  <c r="G40" i="3" s="1"/>
  <c r="AN642" i="2"/>
  <c r="AO642" i="2"/>
  <c r="AM328" i="2"/>
  <c r="K328" i="2"/>
  <c r="AD328" i="2"/>
  <c r="G28" i="3" s="1"/>
  <c r="AP328" i="2"/>
  <c r="AC328" i="2"/>
  <c r="N328" i="2"/>
  <c r="Z328" i="2"/>
  <c r="W328" i="2"/>
  <c r="T328" i="2"/>
  <c r="Q328" i="2"/>
  <c r="AE328" i="2"/>
  <c r="H28" i="3" s="1"/>
  <c r="AI328" i="2"/>
  <c r="AI280" i="2"/>
  <c r="Z280" i="2"/>
  <c r="AM280" i="2"/>
  <c r="Q280" i="2"/>
  <c r="AC280" i="2"/>
  <c r="S180" i="2"/>
  <c r="AD280" i="2"/>
  <c r="G22" i="3" s="1"/>
  <c r="K280" i="2"/>
  <c r="AE280" i="2"/>
  <c r="H22" i="3" s="1"/>
  <c r="T280" i="2"/>
  <c r="N280" i="2"/>
  <c r="W280" i="2"/>
  <c r="AH251" i="2"/>
  <c r="K21" i="3" s="1"/>
  <c r="L21" i="3" s="1"/>
  <c r="AI231" i="2"/>
  <c r="T251" i="2"/>
  <c r="AC251" i="2"/>
  <c r="AD251" i="2"/>
  <c r="G21" i="3" s="1"/>
  <c r="K251" i="2"/>
  <c r="Q251" i="2"/>
  <c r="AE251" i="2"/>
  <c r="H21" i="3" s="1"/>
  <c r="AP251" i="2"/>
  <c r="AM251" i="2"/>
  <c r="N251" i="2"/>
  <c r="W251" i="2"/>
  <c r="Z251" i="2"/>
  <c r="Q231" i="2"/>
  <c r="K231" i="2"/>
  <c r="Z231" i="2"/>
  <c r="AC231" i="2"/>
  <c r="AP231" i="2"/>
  <c r="N231" i="2"/>
  <c r="R180" i="2"/>
  <c r="AM222" i="2"/>
  <c r="AM218" i="2"/>
  <c r="AE222" i="2"/>
  <c r="AE218" i="2"/>
  <c r="W222" i="2"/>
  <c r="T222" i="2"/>
  <c r="T231" i="2" s="1"/>
  <c r="AD222" i="2"/>
  <c r="AO180" i="2"/>
  <c r="AF207" i="2"/>
  <c r="AQ207" i="2" s="1"/>
  <c r="N113" i="2"/>
  <c r="Z113" i="2"/>
  <c r="AD113" i="2"/>
  <c r="G9" i="3" s="1"/>
  <c r="Q113" i="2"/>
  <c r="AG113" i="2"/>
  <c r="W113" i="2"/>
  <c r="T113" i="2"/>
  <c r="K113" i="2"/>
  <c r="AI113" i="2"/>
  <c r="AM113" i="2"/>
  <c r="K584" i="2"/>
  <c r="K642" i="2" s="1"/>
  <c r="AF289" i="2"/>
  <c r="AF303" i="2"/>
  <c r="AQ303" i="2" s="1"/>
  <c r="T584" i="2"/>
  <c r="T642" i="2" s="1"/>
  <c r="AQ237" i="2"/>
  <c r="AM584" i="2"/>
  <c r="AM642" i="2" s="1"/>
  <c r="Z584" i="2"/>
  <c r="Z642" i="2" s="1"/>
  <c r="AF188" i="2"/>
  <c r="AF367" i="2"/>
  <c r="AF239" i="2"/>
  <c r="AQ239" i="2" s="1"/>
  <c r="AQ260" i="2"/>
  <c r="AQ17" i="2"/>
  <c r="Q584" i="2"/>
  <c r="Q642" i="2" s="1"/>
  <c r="W584" i="2"/>
  <c r="W642" i="2" s="1"/>
  <c r="AF276" i="2"/>
  <c r="AQ276" i="2" s="1"/>
  <c r="AF338" i="2"/>
  <c r="AQ338" i="2" s="1"/>
  <c r="AQ240" i="2"/>
  <c r="AF573" i="2"/>
  <c r="AQ573" i="2" s="1"/>
  <c r="AP16" i="2"/>
  <c r="AP113" i="2" s="1"/>
  <c r="AF320" i="2"/>
  <c r="AQ320" i="2" s="1"/>
  <c r="AF258" i="2"/>
  <c r="AP584" i="2"/>
  <c r="AP642" i="2" s="1"/>
  <c r="N584" i="2"/>
  <c r="N642" i="2" s="1"/>
  <c r="AF246" i="2"/>
  <c r="AQ246" i="2" s="1"/>
  <c r="AF331" i="2"/>
  <c r="AF234" i="2"/>
  <c r="AI584" i="2"/>
  <c r="AI642" i="2" s="1"/>
  <c r="AF129" i="2"/>
  <c r="AQ129" i="2" s="1"/>
  <c r="AF270" i="2"/>
  <c r="AQ270" i="2" s="1"/>
  <c r="AF24" i="2"/>
  <c r="AQ24" i="2" s="1"/>
  <c r="AF335" i="2"/>
  <c r="AQ335" i="2" s="1"/>
  <c r="AF576" i="2"/>
  <c r="AQ576" i="2" s="1"/>
  <c r="AQ119" i="2"/>
  <c r="AF266" i="2"/>
  <c r="AQ266" i="2" s="1"/>
  <c r="AE584" i="2"/>
  <c r="AE14" i="2"/>
  <c r="AF14" i="2" s="1"/>
  <c r="AQ14" i="2" s="1"/>
  <c r="AC14" i="2"/>
  <c r="AF325" i="2"/>
  <c r="AQ325" i="2" s="1"/>
  <c r="AF294" i="2"/>
  <c r="AF349" i="2"/>
  <c r="AQ349" i="2" s="1"/>
  <c r="AF342" i="2"/>
  <c r="AQ342" i="2" s="1"/>
  <c r="AF224" i="2"/>
  <c r="AF299" i="2"/>
  <c r="AQ299" i="2" s="1"/>
  <c r="AF32" i="2"/>
  <c r="AF16" i="2"/>
  <c r="AF582" i="2"/>
  <c r="AI234" i="2"/>
  <c r="AI251" i="2" s="1"/>
  <c r="AF308" i="2"/>
  <c r="AQ308" i="2" s="1"/>
  <c r="AF254" i="2"/>
  <c r="AF373" i="2"/>
  <c r="AQ373" i="2" s="1"/>
  <c r="AC584" i="2"/>
  <c r="AC642" i="2" s="1"/>
  <c r="AP258" i="2"/>
  <c r="AP280" i="2" s="1"/>
  <c r="AF116" i="2"/>
  <c r="AF568" i="2"/>
  <c r="AH116" i="2"/>
  <c r="AH135" i="2" s="1"/>
  <c r="AD642" i="2" l="1"/>
  <c r="I21" i="3"/>
  <c r="T21" i="3" s="1"/>
  <c r="O10" i="3"/>
  <c r="O13" i="3" s="1"/>
  <c r="M13" i="3"/>
  <c r="I28" i="3"/>
  <c r="S28" i="3" s="1"/>
  <c r="AH180" i="2"/>
  <c r="K10" i="3"/>
  <c r="AE642" i="2"/>
  <c r="H40" i="3"/>
  <c r="H43" i="3" s="1"/>
  <c r="R23" i="3"/>
  <c r="R10" i="3"/>
  <c r="R13" i="3" s="1"/>
  <c r="P13" i="3"/>
  <c r="E5" i="18" s="1"/>
  <c r="G43" i="3"/>
  <c r="O40" i="3"/>
  <c r="O43" i="3" s="1"/>
  <c r="M43" i="3"/>
  <c r="L40" i="3"/>
  <c r="J43" i="3"/>
  <c r="I22" i="3"/>
  <c r="AG180" i="2"/>
  <c r="J9" i="3"/>
  <c r="R42" i="3"/>
  <c r="S42" i="3" s="1"/>
  <c r="E11" i="18"/>
  <c r="E12" i="18"/>
  <c r="AQ367" i="2"/>
  <c r="AQ331" i="2"/>
  <c r="AQ289" i="2"/>
  <c r="AF328" i="2"/>
  <c r="AQ328" i="2" s="1"/>
  <c r="AF280" i="2"/>
  <c r="AF251" i="2"/>
  <c r="AQ251" i="2" s="1"/>
  <c r="AM231" i="2"/>
  <c r="AE231" i="2"/>
  <c r="H20" i="3" s="1"/>
  <c r="AF222" i="2"/>
  <c r="AQ222" i="2" s="1"/>
  <c r="AD218" i="2"/>
  <c r="W218" i="2"/>
  <c r="W231" i="2" s="1"/>
  <c r="AQ16" i="2"/>
  <c r="AE13" i="2"/>
  <c r="AF13" i="2" s="1"/>
  <c r="AQ13" i="2" s="1"/>
  <c r="AC13" i="2"/>
  <c r="AI116" i="2"/>
  <c r="AQ258" i="2"/>
  <c r="AQ224" i="2"/>
  <c r="R39" i="3"/>
  <c r="AQ568" i="2"/>
  <c r="AQ254" i="2"/>
  <c r="AQ32" i="2"/>
  <c r="AQ294" i="2"/>
  <c r="AQ234" i="2"/>
  <c r="AF584" i="2"/>
  <c r="AF642" i="2" s="1"/>
  <c r="AQ582" i="2"/>
  <c r="AQ584" i="2" s="1"/>
  <c r="AQ642" i="2" s="1"/>
  <c r="S21" i="3" l="1"/>
  <c r="L43" i="3"/>
  <c r="K13" i="3"/>
  <c r="D6" i="18" s="1"/>
  <c r="L10" i="3"/>
  <c r="T22" i="3"/>
  <c r="S22" i="3"/>
  <c r="D11" i="18"/>
  <c r="C11" i="18"/>
  <c r="K63" i="3"/>
  <c r="I40" i="3"/>
  <c r="T28" i="3"/>
  <c r="C12" i="18"/>
  <c r="L63" i="3"/>
  <c r="R43" i="3"/>
  <c r="J13" i="3"/>
  <c r="L9" i="3"/>
  <c r="L13" i="3" s="1"/>
  <c r="AF218" i="2"/>
  <c r="AD231" i="2"/>
  <c r="G20" i="3" s="1"/>
  <c r="I20" i="3" s="1"/>
  <c r="AC12" i="2"/>
  <c r="AE12" i="2"/>
  <c r="AF12" i="2" s="1"/>
  <c r="AQ12" i="2" s="1"/>
  <c r="AB11" i="2"/>
  <c r="AB113" i="2" s="1"/>
  <c r="AB180" i="2" s="1"/>
  <c r="AQ280" i="2"/>
  <c r="AQ116" i="2"/>
  <c r="S39" i="3"/>
  <c r="F11" i="18" l="1"/>
  <c r="T20" i="3"/>
  <c r="S20" i="3"/>
  <c r="T40" i="3"/>
  <c r="T43" i="3" s="1"/>
  <c r="I43" i="3"/>
  <c r="S40" i="3"/>
  <c r="S43" i="3" s="1"/>
  <c r="D5" i="18"/>
  <c r="AQ218" i="2"/>
  <c r="AQ231" i="2" s="1"/>
  <c r="AF231" i="2"/>
  <c r="AE11" i="2"/>
  <c r="AE113" i="2" s="1"/>
  <c r="H9" i="3" s="1"/>
  <c r="AC11" i="2"/>
  <c r="AC113" i="2" s="1"/>
  <c r="I9" i="3" l="1"/>
  <c r="AF11" i="2"/>
  <c r="AF113" i="2" s="1"/>
  <c r="T9" i="3" l="1"/>
  <c r="S9" i="3"/>
  <c r="W9" i="3"/>
  <c r="AQ11" i="2"/>
  <c r="AQ113" i="2" l="1"/>
  <c r="K121" i="2" l="1"/>
  <c r="K126" i="2" l="1"/>
  <c r="K135" i="2" s="1"/>
  <c r="K180" i="2" s="1"/>
  <c r="K157" i="2" l="1"/>
  <c r="K160" i="2"/>
  <c r="N121" i="2"/>
  <c r="N126" i="2" l="1"/>
  <c r="N135" i="2" s="1"/>
  <c r="N180" i="2" s="1"/>
  <c r="Q121" i="2"/>
  <c r="Q126" i="2" l="1"/>
  <c r="Q135" i="2" s="1"/>
  <c r="Q180" i="2" s="1"/>
  <c r="T121" i="2"/>
  <c r="T126" i="2" l="1"/>
  <c r="T135" i="2" s="1"/>
  <c r="T180" i="2" s="1"/>
  <c r="AE121" i="2" l="1"/>
  <c r="AE126" i="2"/>
  <c r="W121" i="2"/>
  <c r="AE135" i="2" l="1"/>
  <c r="AE180" i="2" l="1"/>
  <c r="H10" i="3"/>
  <c r="H13" i="3" s="1"/>
  <c r="W126" i="2"/>
  <c r="W135" i="2" s="1"/>
  <c r="W180" i="2" s="1"/>
  <c r="Z121" i="2"/>
  <c r="C6" i="18" l="1"/>
  <c r="L60" i="3"/>
  <c r="AE160" i="2"/>
  <c r="Z126" i="2"/>
  <c r="Z135" i="2" s="1"/>
  <c r="AC121" i="2"/>
  <c r="AC126" i="2"/>
  <c r="AD121" i="2"/>
  <c r="Z180" i="2" l="1"/>
  <c r="AC135" i="2"/>
  <c r="AE157" i="2"/>
  <c r="AF121" i="2"/>
  <c r="AD126" i="2"/>
  <c r="AF126" i="2" s="1"/>
  <c r="AC180" i="2" l="1"/>
  <c r="AF135" i="2"/>
  <c r="AF180" i="2" s="1"/>
  <c r="AD135" i="2"/>
  <c r="AD160" i="2"/>
  <c r="AF160" i="2" s="1"/>
  <c r="AI121" i="2"/>
  <c r="AI126" i="2"/>
  <c r="AD180" i="2" l="1"/>
  <c r="G10" i="3"/>
  <c r="AI135" i="2"/>
  <c r="AI180" i="2" s="1"/>
  <c r="AD157" i="2"/>
  <c r="AF157" i="2" s="1"/>
  <c r="AM121" i="2"/>
  <c r="I10" i="3" l="1"/>
  <c r="G13" i="3"/>
  <c r="AM126" i="2"/>
  <c r="AM135" i="2" s="1"/>
  <c r="AM180" i="2" s="1"/>
  <c r="AP126" i="2"/>
  <c r="AP121" i="2"/>
  <c r="K60" i="3" l="1"/>
  <c r="C5" i="18"/>
  <c r="T10" i="3"/>
  <c r="T13" i="3" s="1"/>
  <c r="S10" i="3"/>
  <c r="S13" i="3" s="1"/>
  <c r="I13" i="3"/>
  <c r="AP135" i="2"/>
  <c r="AP180" i="2" s="1"/>
  <c r="AQ126" i="2"/>
  <c r="AQ121" i="2"/>
  <c r="F5" i="18" l="1"/>
  <c r="AQ135" i="2"/>
  <c r="AQ180" i="2" s="1"/>
  <c r="AR180" i="2" s="1"/>
  <c r="AQ160" i="2"/>
  <c r="AQ157" i="2"/>
  <c r="I198" i="2"/>
  <c r="I281" i="2" s="1"/>
  <c r="K194" i="2" l="1"/>
  <c r="K198" i="2" s="1"/>
  <c r="J198" i="2"/>
  <c r="K212" i="2" l="1"/>
  <c r="M198" i="2"/>
  <c r="M281" i="2" s="1"/>
  <c r="L198" i="2"/>
  <c r="L281" i="2" s="1"/>
  <c r="N194" i="2"/>
  <c r="N198" i="2" l="1"/>
  <c r="N212" i="2"/>
  <c r="N215" i="2" s="1"/>
  <c r="N281" i="2" l="1"/>
  <c r="Q194" i="2"/>
  <c r="Q198" i="2" s="1"/>
  <c r="O198" i="2"/>
  <c r="O281" i="2" s="1"/>
  <c r="P198" i="2"/>
  <c r="P281" i="2" s="1"/>
  <c r="Q212" i="2" l="1"/>
  <c r="Q215" i="2" s="1"/>
  <c r="Q281" i="2" s="1"/>
  <c r="T194" i="2" l="1"/>
  <c r="T198" i="2" s="1"/>
  <c r="S198" i="2"/>
  <c r="S281" i="2" s="1"/>
  <c r="R198" i="2"/>
  <c r="R281" i="2" s="1"/>
  <c r="T212" i="2" l="1"/>
  <c r="T215" i="2" s="1"/>
  <c r="T281" i="2" s="1"/>
  <c r="V198" i="2"/>
  <c r="V281" i="2" s="1"/>
  <c r="W194" i="2"/>
  <c r="W198" i="2" s="1"/>
  <c r="U198" i="2"/>
  <c r="U281" i="2" s="1"/>
  <c r="W212" i="2" l="1"/>
  <c r="W215" i="2" s="1"/>
  <c r="W281" i="2" s="1"/>
  <c r="Y198" i="2"/>
  <c r="X198" i="2"/>
  <c r="Z194" i="2"/>
  <c r="Z198" i="2" l="1"/>
  <c r="Z212" i="2" l="1"/>
  <c r="AE194" i="2"/>
  <c r="AE198" i="2" s="1"/>
  <c r="H18" i="3" s="1"/>
  <c r="AB198" i="2"/>
  <c r="AB281" i="2" s="1"/>
  <c r="AD194" i="2"/>
  <c r="AC194" i="2"/>
  <c r="AC198" i="2" s="1"/>
  <c r="AA198" i="2"/>
  <c r="AA281" i="2" s="1"/>
  <c r="AC212" i="2" l="1"/>
  <c r="AC215" i="2" s="1"/>
  <c r="AC281" i="2" s="1"/>
  <c r="AF212" i="2"/>
  <c r="AD198" i="2"/>
  <c r="G18" i="3" s="1"/>
  <c r="AF194" i="2"/>
  <c r="I18" i="3" l="1"/>
  <c r="AF198" i="2"/>
  <c r="T18" i="3" l="1"/>
  <c r="AH198" i="2"/>
  <c r="AI194" i="2"/>
  <c r="AI198" i="2" s="1"/>
  <c r="AG198" i="2"/>
  <c r="AH281" i="2" l="1"/>
  <c r="K18" i="3"/>
  <c r="K23" i="3" s="1"/>
  <c r="D8" i="18" s="1"/>
  <c r="AG281" i="2"/>
  <c r="J18" i="3"/>
  <c r="AI212" i="2"/>
  <c r="AI215" i="2" s="1"/>
  <c r="AI281" i="2" s="1"/>
  <c r="AM194" i="2"/>
  <c r="AJ198" i="2"/>
  <c r="AM212" i="2"/>
  <c r="AM215" i="2" s="1"/>
  <c r="AK198" i="2"/>
  <c r="AK281" i="2" s="1"/>
  <c r="AJ281" i="2" l="1"/>
  <c r="M18" i="3"/>
  <c r="L18" i="3"/>
  <c r="J23" i="3"/>
  <c r="AM198" i="2"/>
  <c r="AM281" i="2" s="1"/>
  <c r="AN281" i="2"/>
  <c r="AP194" i="2"/>
  <c r="AQ194" i="2" s="1"/>
  <c r="L23" i="3" l="1"/>
  <c r="M23" i="3"/>
  <c r="O18" i="3"/>
  <c r="O23" i="3" s="1"/>
  <c r="D7" i="18"/>
  <c r="AP212" i="2"/>
  <c r="S18" i="3" l="1"/>
  <c r="AQ212" i="2"/>
  <c r="AP215" i="2"/>
  <c r="K356" i="2"/>
  <c r="N356" i="2"/>
  <c r="K360" i="2" l="1"/>
  <c r="K364" i="2" s="1"/>
  <c r="N360" i="2"/>
  <c r="N364" i="2" s="1"/>
  <c r="Q356" i="2"/>
  <c r="Q360" i="2" l="1"/>
  <c r="Q364" i="2" s="1"/>
  <c r="T356" i="2"/>
  <c r="T360" i="2" l="1"/>
  <c r="T364" i="2" s="1"/>
  <c r="W356" i="2"/>
  <c r="W360" i="2" l="1"/>
  <c r="W364" i="2" s="1"/>
  <c r="Z356" i="2" l="1"/>
  <c r="AE356" i="2"/>
  <c r="AC356" i="2"/>
  <c r="AD356" i="2"/>
  <c r="AE360" i="2"/>
  <c r="AF356" i="2" l="1"/>
  <c r="AE364" i="2"/>
  <c r="H29" i="3" s="1"/>
  <c r="Z360" i="2"/>
  <c r="Z364" i="2" s="1"/>
  <c r="AD360" i="2"/>
  <c r="AF360" i="2" s="1"/>
  <c r="AC360" i="2"/>
  <c r="AC364" i="2" s="1"/>
  <c r="AI356" i="2"/>
  <c r="AD364" i="2" l="1"/>
  <c r="G29" i="3" s="1"/>
  <c r="AF364" i="2"/>
  <c r="AI360" i="2"/>
  <c r="AI364" i="2" s="1"/>
  <c r="I29" i="3" l="1"/>
  <c r="AK364" i="2"/>
  <c r="N29" i="3" s="1"/>
  <c r="AM360" i="2"/>
  <c r="AM356" i="2"/>
  <c r="T29" i="3" l="1"/>
  <c r="O29" i="3"/>
  <c r="S29" i="3" s="1"/>
  <c r="AM364" i="2"/>
  <c r="AP356" i="2" l="1"/>
  <c r="AQ356" i="2" l="1"/>
  <c r="AP360" i="2"/>
  <c r="AQ360" i="2" s="1"/>
  <c r="AP364" i="2" l="1"/>
  <c r="AQ364" i="2"/>
  <c r="K385" i="2" l="1"/>
  <c r="K394" i="2" l="1"/>
  <c r="K399" i="2" s="1"/>
  <c r="N385" i="2"/>
  <c r="N394" i="2" l="1"/>
  <c r="N399" i="2" s="1"/>
  <c r="Q385" i="2"/>
  <c r="Q394" i="2" l="1"/>
  <c r="Q399" i="2" s="1"/>
  <c r="T385" i="2"/>
  <c r="T394" i="2" l="1"/>
  <c r="T399" i="2" s="1"/>
  <c r="W385" i="2"/>
  <c r="W394" i="2" l="1"/>
  <c r="W399" i="2" s="1"/>
  <c r="Z385" i="2"/>
  <c r="Z394" i="2" l="1"/>
  <c r="Z399" i="2" s="1"/>
  <c r="AE385" i="2"/>
  <c r="AC385" i="2"/>
  <c r="AD385" i="2"/>
  <c r="AD394" i="2"/>
  <c r="AD399" i="2" l="1"/>
  <c r="G30" i="3" s="1"/>
  <c r="AF385" i="2"/>
  <c r="AE394" i="2" l="1"/>
  <c r="AC394" i="2"/>
  <c r="AC399" i="2" s="1"/>
  <c r="AI385" i="2"/>
  <c r="AF394" i="2" l="1"/>
  <c r="AF399" i="2" s="1"/>
  <c r="AE399" i="2"/>
  <c r="H30" i="3" s="1"/>
  <c r="I30" i="3" l="1"/>
  <c r="AI394" i="2"/>
  <c r="AI399" i="2" s="1"/>
  <c r="AM385" i="2"/>
  <c r="AM399" i="2" s="1"/>
  <c r="T30" i="3" l="1"/>
  <c r="O33" i="3"/>
  <c r="AM394" i="2"/>
  <c r="AP385" i="2" l="1"/>
  <c r="AN399" i="2"/>
  <c r="P30" i="3" s="1"/>
  <c r="R30" i="3" l="1"/>
  <c r="AQ385" i="2"/>
  <c r="S30" i="3" l="1"/>
  <c r="AP394" i="2"/>
  <c r="AQ394" i="2" l="1"/>
  <c r="AQ399" i="2" s="1"/>
  <c r="AP399" i="2"/>
  <c r="I540" i="2" l="1"/>
  <c r="K421" i="2"/>
  <c r="J425" i="2"/>
  <c r="J540" i="2" s="1"/>
  <c r="I765" i="2" l="1"/>
  <c r="I766" i="2"/>
  <c r="K419" i="2"/>
  <c r="K425" i="2" s="1"/>
  <c r="K540" i="2" s="1"/>
  <c r="M425" i="2"/>
  <c r="M540" i="2" s="1"/>
  <c r="L425" i="2"/>
  <c r="L540" i="2" s="1"/>
  <c r="N421" i="2"/>
  <c r="P425" i="2"/>
  <c r="P540" i="2" s="1"/>
  <c r="Q421" i="2"/>
  <c r="P765" i="2" l="1"/>
  <c r="L765" i="2"/>
  <c r="M765" i="2"/>
  <c r="M766" i="2"/>
  <c r="P766" i="2"/>
  <c r="L766" i="2"/>
  <c r="Q419" i="2"/>
  <c r="Q425" i="2" s="1"/>
  <c r="Q540" i="2" s="1"/>
  <c r="N419" i="2"/>
  <c r="N425" i="2" s="1"/>
  <c r="N540" i="2" s="1"/>
  <c r="O425" i="2"/>
  <c r="O540" i="2" s="1"/>
  <c r="T421" i="2"/>
  <c r="R425" i="2"/>
  <c r="R540" i="2" s="1"/>
  <c r="Q765" i="2" l="1"/>
  <c r="N765" i="2"/>
  <c r="O765" i="2"/>
  <c r="R765" i="2"/>
  <c r="N766" i="2"/>
  <c r="R766" i="2"/>
  <c r="O766" i="2"/>
  <c r="Q766" i="2"/>
  <c r="S425" i="2"/>
  <c r="S540" i="2" s="1"/>
  <c r="T419" i="2"/>
  <c r="T425" i="2" s="1"/>
  <c r="T540" i="2" s="1"/>
  <c r="V425" i="2"/>
  <c r="U425" i="2"/>
  <c r="W421" i="2"/>
  <c r="X425" i="2"/>
  <c r="Z421" i="2"/>
  <c r="T765" i="2" l="1"/>
  <c r="S765" i="2"/>
  <c r="S766" i="2"/>
  <c r="T766" i="2"/>
  <c r="W419" i="2"/>
  <c r="W425" i="2" s="1"/>
  <c r="Y425" i="2"/>
  <c r="Z419" i="2"/>
  <c r="Z425" i="2" s="1"/>
  <c r="Z540" i="2" s="1"/>
  <c r="AC421" i="2"/>
  <c r="AD421" i="2"/>
  <c r="AB425" i="2"/>
  <c r="AE421" i="2"/>
  <c r="AC419" i="2" l="1"/>
  <c r="AC425" i="2" s="1"/>
  <c r="AA425" i="2"/>
  <c r="AD419" i="2"/>
  <c r="AD425" i="2" s="1"/>
  <c r="G31" i="3" s="1"/>
  <c r="AF421" i="2"/>
  <c r="AE419" i="2"/>
  <c r="AE425" i="2" s="1"/>
  <c r="H31" i="3" s="1"/>
  <c r="AI421" i="2"/>
  <c r="AH425" i="2"/>
  <c r="AG425" i="2"/>
  <c r="AH540" i="2" l="1"/>
  <c r="K31" i="3"/>
  <c r="K34" i="3" s="1"/>
  <c r="I31" i="3"/>
  <c r="AG540" i="2"/>
  <c r="AG765" i="2" s="1"/>
  <c r="J31" i="3"/>
  <c r="AH765" i="2"/>
  <c r="AH766" i="2"/>
  <c r="AF419" i="2"/>
  <c r="AF425" i="2" s="1"/>
  <c r="AI419" i="2"/>
  <c r="AI425" i="2" s="1"/>
  <c r="AI540" i="2" s="1"/>
  <c r="AM421" i="2"/>
  <c r="AJ425" i="2"/>
  <c r="AG766" i="2" l="1"/>
  <c r="L31" i="3"/>
  <c r="J34" i="3"/>
  <c r="T31" i="3"/>
  <c r="K52" i="3"/>
  <c r="AJ540" i="2"/>
  <c r="AJ766" i="2" s="1"/>
  <c r="M31" i="3"/>
  <c r="AI765" i="2"/>
  <c r="AI766" i="2"/>
  <c r="AM419" i="2"/>
  <c r="AM425" i="2" s="1"/>
  <c r="AM540" i="2" s="1"/>
  <c r="AK425" i="2"/>
  <c r="AO425" i="2"/>
  <c r="AP421" i="2"/>
  <c r="AQ421" i="2" s="1"/>
  <c r="AN425" i="2"/>
  <c r="AJ765" i="2" l="1"/>
  <c r="J52" i="3"/>
  <c r="M34" i="3"/>
  <c r="M52" i="3" s="1"/>
  <c r="AK540" i="2"/>
  <c r="AK765" i="2" s="1"/>
  <c r="N31" i="3"/>
  <c r="N34" i="3" s="1"/>
  <c r="L34" i="3"/>
  <c r="L52" i="3" s="1"/>
  <c r="H61" i="3" s="1"/>
  <c r="AN540" i="2"/>
  <c r="AN766" i="2" s="1"/>
  <c r="P31" i="3"/>
  <c r="AO540" i="2"/>
  <c r="Q31" i="3"/>
  <c r="Q34" i="3" s="1"/>
  <c r="AM765" i="2"/>
  <c r="AM766" i="2"/>
  <c r="AP419" i="2"/>
  <c r="AQ419" i="2" s="1"/>
  <c r="AQ425" i="2" s="1"/>
  <c r="AN765" i="2" l="1"/>
  <c r="N52" i="3"/>
  <c r="D10" i="18"/>
  <c r="O31" i="3"/>
  <c r="E10" i="18"/>
  <c r="Q52" i="3"/>
  <c r="R31" i="3"/>
  <c r="R34" i="3" s="1"/>
  <c r="R52" i="3" s="1"/>
  <c r="H63" i="3" s="1"/>
  <c r="P34" i="3"/>
  <c r="AK766" i="2"/>
  <c r="D9" i="18"/>
  <c r="AP425" i="2"/>
  <c r="AP540" i="2" s="1"/>
  <c r="D15" i="18" l="1"/>
  <c r="O34" i="3"/>
  <c r="O52" i="3" s="1"/>
  <c r="H62" i="3" s="1"/>
  <c r="S31" i="3"/>
  <c r="E9" i="18"/>
  <c r="E15" i="18" s="1"/>
  <c r="P52" i="3"/>
  <c r="W535" i="2"/>
  <c r="E16" i="18" l="1"/>
  <c r="D16" i="18"/>
  <c r="AD535" i="2"/>
  <c r="AC535" i="2" l="1"/>
  <c r="AE535" i="2"/>
  <c r="AF535" i="2" s="1"/>
  <c r="AQ535" i="2" s="1"/>
  <c r="W530" i="2"/>
  <c r="AE530" i="2"/>
  <c r="W650" i="2"/>
  <c r="AD650" i="2"/>
  <c r="W655" i="2"/>
  <c r="AD655" i="2"/>
  <c r="W731" i="2" l="1"/>
  <c r="AD731" i="2"/>
  <c r="AF731" i="2" s="1"/>
  <c r="AQ731" i="2" s="1"/>
  <c r="AC731" i="2"/>
  <c r="AC747" i="2"/>
  <c r="AE747" i="2"/>
  <c r="AE752" i="2"/>
  <c r="AF752" i="2" s="1"/>
  <c r="AQ752" i="2" s="1"/>
  <c r="AC752" i="2"/>
  <c r="AC756" i="2"/>
  <c r="AC712" i="2"/>
  <c r="AE712" i="2"/>
  <c r="AF712" i="2" s="1"/>
  <c r="AC763" i="2" l="1"/>
  <c r="AF747" i="2"/>
  <c r="AQ712" i="2"/>
  <c r="AC717" i="2"/>
  <c r="AE717" i="2"/>
  <c r="AF717" i="2" s="1"/>
  <c r="AQ747" i="2" l="1"/>
  <c r="AQ717" i="2"/>
  <c r="AB744" i="2"/>
  <c r="AC723" i="2"/>
  <c r="AC744" i="2" s="1"/>
  <c r="AC650" i="2" l="1"/>
  <c r="AE650" i="2"/>
  <c r="AF650" i="2" l="1"/>
  <c r="AQ650" i="2" l="1"/>
  <c r="AE655" i="2"/>
  <c r="AC655" i="2"/>
  <c r="AC661" i="2"/>
  <c r="AF655" i="2" l="1"/>
  <c r="AQ655" i="2" l="1"/>
  <c r="W661" i="2"/>
  <c r="AD661" i="2"/>
  <c r="AE661" i="2"/>
  <c r="AF661" i="2" l="1"/>
  <c r="AQ661" i="2" s="1"/>
  <c r="W670" i="2"/>
  <c r="X709" i="2"/>
  <c r="AD670" i="2"/>
  <c r="Y709" i="2"/>
  <c r="AC670" i="2"/>
  <c r="AE670" i="2"/>
  <c r="AF670" i="2" l="1"/>
  <c r="AQ670" i="2"/>
  <c r="W683" i="2"/>
  <c r="AE683" i="2"/>
  <c r="U709" i="2"/>
  <c r="AE686" i="2"/>
  <c r="W686" i="2"/>
  <c r="W709" i="2" s="1"/>
  <c r="V709" i="2"/>
  <c r="AC683" i="2"/>
  <c r="AD683" i="2"/>
  <c r="AD686" i="2"/>
  <c r="AC686" i="2"/>
  <c r="AF683" i="2" l="1"/>
  <c r="AQ683" i="2" s="1"/>
  <c r="AF686" i="2"/>
  <c r="AQ686" i="2" s="1"/>
  <c r="AD705" i="2"/>
  <c r="AD709" i="2" s="1"/>
  <c r="G48" i="3" s="1"/>
  <c r="AA709" i="2"/>
  <c r="AA764" i="2" s="1"/>
  <c r="AC705" i="2"/>
  <c r="AC709" i="2" s="1"/>
  <c r="AC764" i="2" s="1"/>
  <c r="AB709" i="2"/>
  <c r="AB764" i="2" s="1"/>
  <c r="AE705" i="2"/>
  <c r="AF705" i="2" s="1"/>
  <c r="U744" i="2"/>
  <c r="W723" i="2"/>
  <c r="W744" i="2" s="1"/>
  <c r="V744" i="2"/>
  <c r="V764" i="2" s="1"/>
  <c r="X744" i="2"/>
  <c r="X764" i="2" s="1"/>
  <c r="AD723" i="2"/>
  <c r="AE709" i="2" l="1"/>
  <c r="H48" i="3" s="1"/>
  <c r="I48" i="3" s="1"/>
  <c r="AQ705" i="2"/>
  <c r="AQ709" i="2" s="1"/>
  <c r="AF709" i="2"/>
  <c r="U764" i="2"/>
  <c r="AD744" i="2"/>
  <c r="G49" i="3" s="1"/>
  <c r="Y744" i="2"/>
  <c r="AE723" i="2"/>
  <c r="T48" i="3" l="1"/>
  <c r="S48" i="3"/>
  <c r="AF723" i="2"/>
  <c r="AQ723" i="2" s="1"/>
  <c r="Y764" i="2"/>
  <c r="AE744" i="2"/>
  <c r="H49" i="3" s="1"/>
  <c r="AF744" i="2"/>
  <c r="I49" i="3" l="1"/>
  <c r="AQ744" i="2"/>
  <c r="T49" i="3" l="1"/>
  <c r="S49" i="3"/>
  <c r="W756" i="2"/>
  <c r="W763" i="2" s="1"/>
  <c r="W764" i="2" s="1"/>
  <c r="AD756" i="2"/>
  <c r="AD763" i="2" s="1"/>
  <c r="AE756" i="2"/>
  <c r="AE763" i="2" s="1"/>
  <c r="AE764" i="2" l="1"/>
  <c r="H50" i="3"/>
  <c r="H51" i="3" s="1"/>
  <c r="AD764" i="2"/>
  <c r="G50" i="3"/>
  <c r="AF756" i="2"/>
  <c r="AD482" i="2"/>
  <c r="W482" i="2"/>
  <c r="W486" i="2"/>
  <c r="AD486" i="2"/>
  <c r="AC482" i="2"/>
  <c r="AE482" i="2"/>
  <c r="I50" i="3" l="1"/>
  <c r="G51" i="3"/>
  <c r="L64" i="3"/>
  <c r="C14" i="18"/>
  <c r="AQ756" i="2"/>
  <c r="AQ763" i="2" s="1"/>
  <c r="AQ764" i="2" s="1"/>
  <c r="AF763" i="2"/>
  <c r="AF764" i="2" s="1"/>
  <c r="AF482" i="2"/>
  <c r="AQ482" i="2" s="1"/>
  <c r="AE486" i="2"/>
  <c r="AF486" i="2" s="1"/>
  <c r="AC486" i="2"/>
  <c r="K64" i="3" l="1"/>
  <c r="C13" i="18"/>
  <c r="F13" i="18" s="1"/>
  <c r="T50" i="3"/>
  <c r="T51" i="3" s="1"/>
  <c r="S50" i="3"/>
  <c r="S51" i="3" s="1"/>
  <c r="I51" i="3"/>
  <c r="AQ486" i="2"/>
  <c r="AC490" i="2"/>
  <c r="AD490" i="2"/>
  <c r="W490" i="2"/>
  <c r="AE490" i="2"/>
  <c r="AF490" i="2" l="1"/>
  <c r="AQ490" i="2" s="1"/>
  <c r="W497" i="2"/>
  <c r="AD497" i="2"/>
  <c r="X539" i="2"/>
  <c r="Y539" i="2"/>
  <c r="AC497" i="2"/>
  <c r="AE497" i="2"/>
  <c r="AB539" i="2"/>
  <c r="AF497" i="2" l="1"/>
  <c r="AQ497" i="2" s="1"/>
  <c r="AC507" i="2"/>
  <c r="AD507" i="2"/>
  <c r="AE507" i="2"/>
  <c r="W507" i="2"/>
  <c r="AF507" i="2" l="1"/>
  <c r="AQ507" i="2" s="1"/>
  <c r="AC512" i="2"/>
  <c r="AD512" i="2"/>
  <c r="U539" i="2"/>
  <c r="AE512" i="2"/>
  <c r="V539" i="2"/>
  <c r="W512" i="2"/>
  <c r="W539" i="2" s="1"/>
  <c r="AF512" i="2" l="1"/>
  <c r="AQ512" i="2" s="1"/>
  <c r="AE539" i="2"/>
  <c r="H33" i="3" s="1"/>
  <c r="AC530" i="2"/>
  <c r="AC539" i="2" s="1"/>
  <c r="AA539" i="2"/>
  <c r="AA540" i="2" s="1"/>
  <c r="AA765" i="2" s="1"/>
  <c r="AD530" i="2"/>
  <c r="AD539" i="2" s="1"/>
  <c r="G33" i="3" s="1"/>
  <c r="I33" i="3" s="1"/>
  <c r="T33" i="3" l="1"/>
  <c r="S33" i="3"/>
  <c r="AF530" i="2"/>
  <c r="AF539" i="2" l="1"/>
  <c r="AQ530" i="2"/>
  <c r="AQ539" i="2" s="1"/>
  <c r="U540" i="2"/>
  <c r="U765" i="2" s="1"/>
  <c r="U766" i="2" l="1"/>
  <c r="W439" i="2"/>
  <c r="V540" i="2"/>
  <c r="V766" i="2" s="1"/>
  <c r="W479" i="2" l="1"/>
  <c r="W540" i="2" s="1"/>
  <c r="V765" i="2"/>
  <c r="Y479" i="2"/>
  <c r="Y540" i="2" s="1"/>
  <c r="X479" i="2"/>
  <c r="X540" i="2" s="1"/>
  <c r="AD439" i="2"/>
  <c r="AD479" i="2" s="1"/>
  <c r="AC439" i="2"/>
  <c r="AC479" i="2" s="1"/>
  <c r="AC540" i="2" s="1"/>
  <c r="AC765" i="2" s="1"/>
  <c r="AB479" i="2"/>
  <c r="AB540" i="2" s="1"/>
  <c r="AB765" i="2" s="1"/>
  <c r="AE439" i="2"/>
  <c r="AE479" i="2" s="1"/>
  <c r="AE540" i="2" l="1"/>
  <c r="H32" i="3"/>
  <c r="H34" i="3" s="1"/>
  <c r="AD540" i="2"/>
  <c r="G32" i="3"/>
  <c r="W766" i="2"/>
  <c r="W765" i="2"/>
  <c r="AF439" i="2"/>
  <c r="AF479" i="2" s="1"/>
  <c r="AF540" i="2" s="1"/>
  <c r="AQ439" i="2" l="1"/>
  <c r="AQ479" i="2" s="1"/>
  <c r="AQ540" i="2" s="1"/>
  <c r="AR540" i="2" s="1"/>
  <c r="I32" i="3"/>
  <c r="G34" i="3"/>
  <c r="C10" i="18"/>
  <c r="L62" i="3"/>
  <c r="AO281" i="2"/>
  <c r="AO766" i="2" s="1"/>
  <c r="AO193" i="2"/>
  <c r="AP193" i="2" s="1"/>
  <c r="AQ193" i="2" s="1"/>
  <c r="C9" i="18" l="1"/>
  <c r="F9" i="18" s="1"/>
  <c r="K62" i="3"/>
  <c r="T32" i="3"/>
  <c r="T34" i="3" s="1"/>
  <c r="S32" i="3"/>
  <c r="S34" i="3" s="1"/>
  <c r="I34" i="3"/>
  <c r="AO192" i="2"/>
  <c r="AO191" i="2" s="1"/>
  <c r="AO190" i="2" s="1"/>
  <c r="AO765" i="2"/>
  <c r="AP192" i="2" l="1"/>
  <c r="AQ192" i="2" s="1"/>
  <c r="AP191" i="2"/>
  <c r="AQ191" i="2" s="1"/>
  <c r="AO189" i="2"/>
  <c r="AP190" i="2"/>
  <c r="AQ190" i="2" s="1"/>
  <c r="AO188" i="2" l="1"/>
  <c r="AP188" i="2" s="1"/>
  <c r="AP189" i="2"/>
  <c r="AQ189" i="2" s="1"/>
  <c r="AP198" i="2" l="1"/>
  <c r="AQ188" i="2"/>
  <c r="AP281" i="2" l="1"/>
  <c r="AQ198" i="2"/>
  <c r="AP765" i="2" l="1"/>
  <c r="AP766" i="2"/>
  <c r="Z201" i="2"/>
  <c r="Z215" i="2" s="1"/>
  <c r="Z281" i="2" s="1"/>
  <c r="Z765" i="2" s="1"/>
  <c r="Y215" i="2"/>
  <c r="Y281" i="2" s="1"/>
  <c r="Y765" i="2" s="1"/>
  <c r="X215" i="2"/>
  <c r="X281" i="2" s="1"/>
  <c r="X765" i="2" s="1"/>
  <c r="AD201" i="2"/>
  <c r="AD215" i="2" s="1"/>
  <c r="AD281" i="2" l="1"/>
  <c r="AD765" i="2" s="1"/>
  <c r="G19" i="3"/>
  <c r="AE201" i="2"/>
  <c r="AF201" i="2" s="1"/>
  <c r="J215" i="2"/>
  <c r="J281" i="2" s="1"/>
  <c r="K201" i="2"/>
  <c r="K215" i="2" s="1"/>
  <c r="K281" i="2" s="1"/>
  <c r="AD766" i="2" l="1"/>
  <c r="G23" i="3"/>
  <c r="J766" i="2"/>
  <c r="J765" i="2"/>
  <c r="K765" i="2"/>
  <c r="K766" i="2"/>
  <c r="AF215" i="2"/>
  <c r="AQ201" i="2"/>
  <c r="AE215" i="2"/>
  <c r="AE281" i="2" l="1"/>
  <c r="H19" i="3"/>
  <c r="C7" i="18"/>
  <c r="K61" i="3"/>
  <c r="G52" i="3"/>
  <c r="H75" i="3" s="1"/>
  <c r="AE765" i="2"/>
  <c r="AE766" i="2"/>
  <c r="AQ215" i="2"/>
  <c r="AQ281" i="2" s="1"/>
  <c r="AF281" i="2"/>
  <c r="H23" i="3" l="1"/>
  <c r="I19" i="3"/>
  <c r="AF765" i="2"/>
  <c r="AF766" i="2"/>
  <c r="AR281" i="2"/>
  <c r="AQ766" i="2"/>
  <c r="AQ765" i="2"/>
  <c r="T19" i="3" l="1"/>
  <c r="T23" i="3" s="1"/>
  <c r="T52" i="3" s="1"/>
  <c r="S19" i="3"/>
  <c r="I23" i="3"/>
  <c r="C8" i="18"/>
  <c r="L61" i="3"/>
  <c r="H52" i="3"/>
  <c r="H76" i="3" s="1"/>
  <c r="C15" i="18" l="1"/>
  <c r="F7" i="18"/>
  <c r="F15" i="18" s="1"/>
  <c r="F16" i="18" s="1"/>
  <c r="S23" i="3"/>
  <c r="S52" i="3" s="1"/>
  <c r="H64" i="3" s="1"/>
  <c r="I52" i="3"/>
  <c r="C16" i="18" l="1"/>
  <c r="E20" i="18"/>
  <c r="D20" i="18"/>
  <c r="H60" i="3"/>
  <c r="H77" i="3"/>
  <c r="I75" i="3" l="1"/>
  <c r="I76" i="3"/>
  <c r="M63" i="3"/>
  <c r="M60" i="3"/>
  <c r="M64" i="3"/>
  <c r="M62" i="3"/>
  <c r="M61" i="3"/>
  <c r="I67" i="3"/>
</calcChain>
</file>

<file path=xl/comments1.xml><?xml version="1.0" encoding="utf-8"?>
<comments xmlns="http://schemas.openxmlformats.org/spreadsheetml/2006/main">
  <authors>
    <author>Era Dragoti</author>
  </authors>
  <commentList>
    <comment ref="G302" authorId="0" shapeId="0">
      <text>
        <r>
          <rPr>
            <b/>
            <sz val="9"/>
            <color indexed="81"/>
            <rFont val="Tahoma"/>
            <family val="2"/>
          </rPr>
          <t>Era Dragoti:</t>
        </r>
        <r>
          <rPr>
            <sz val="9"/>
            <color indexed="81"/>
            <rFont val="Tahoma"/>
            <family val="2"/>
          </rPr>
          <t xml:space="preserve">
ishte 2024 e bem 2025</t>
        </r>
      </text>
    </comment>
  </commentList>
</comments>
</file>

<file path=xl/sharedStrings.xml><?xml version="1.0" encoding="utf-8"?>
<sst xmlns="http://schemas.openxmlformats.org/spreadsheetml/2006/main" count="2892" uniqueCount="1646">
  <si>
    <t>Nr.</t>
  </si>
  <si>
    <t xml:space="preserve">Referenca e Rezultatit me produktet e programit buxhetor                       </t>
  </si>
  <si>
    <t xml:space="preserve">Afati i zbatimit </t>
  </si>
  <si>
    <t>2.1.1</t>
  </si>
  <si>
    <t>2.1.2</t>
  </si>
  <si>
    <t>2.2.2</t>
  </si>
  <si>
    <t>2.2.1</t>
  </si>
  <si>
    <t>2.2.3</t>
  </si>
  <si>
    <t>3.1.1</t>
  </si>
  <si>
    <t>3.1.2</t>
  </si>
  <si>
    <t>3.2.1</t>
  </si>
  <si>
    <t>3.2.2</t>
  </si>
  <si>
    <t>3.2.3</t>
  </si>
  <si>
    <t>3.3.1</t>
  </si>
  <si>
    <t>3.3.2</t>
  </si>
  <si>
    <t>3.3.3</t>
  </si>
  <si>
    <t>4.1.1</t>
  </si>
  <si>
    <t>4.2.2</t>
  </si>
  <si>
    <t>4.1.2</t>
  </si>
  <si>
    <t>4.2.3</t>
  </si>
  <si>
    <t>4.2.1</t>
  </si>
  <si>
    <t xml:space="preserve">Institucionet përgjegjëse </t>
  </si>
  <si>
    <t>Kosto Objektivi specifik 2.1</t>
  </si>
  <si>
    <t>Kosto Objektivi specifik 2.2</t>
  </si>
  <si>
    <t>Nuk ka informacion</t>
  </si>
  <si>
    <t>Kosto Objektivi specifik 3.1</t>
  </si>
  <si>
    <t>Kosto Objektivi specifik 3.2</t>
  </si>
  <si>
    <t>Kosto Objektivi specifik 3.3</t>
  </si>
  <si>
    <t>!!!</t>
  </si>
  <si>
    <t>4.1.3</t>
  </si>
  <si>
    <t>Kosto Objektivi specifik 4.1</t>
  </si>
  <si>
    <t>Kosto Objektivi specifik 4.2</t>
  </si>
  <si>
    <t>Korente</t>
  </si>
  <si>
    <t>Kapitale</t>
  </si>
  <si>
    <t>Total BSH</t>
  </si>
  <si>
    <t>Total FH</t>
  </si>
  <si>
    <t>Qëllimi i Politikës I:  
Përmirësimi i Cilësisë Saktësisë dhe Konsistencës së të Dhënave të Sektorit të furnizimit me ujë dhe kanalizime</t>
  </si>
  <si>
    <t>Total Kosto</t>
  </si>
  <si>
    <t xml:space="preserve">Kosto Korente </t>
  </si>
  <si>
    <t>Kosto kapitale</t>
  </si>
  <si>
    <t>Total kosto</t>
  </si>
  <si>
    <t>Hendeku financiar
2023-2030
(në Lekë)</t>
  </si>
  <si>
    <t>Burimi i mbulimit deri ne 2022</t>
  </si>
  <si>
    <t>Qëllimi i Politikës I</t>
  </si>
  <si>
    <t>Qëllimi i Politikës II</t>
  </si>
  <si>
    <t>Qëllimi i Politikës III</t>
  </si>
  <si>
    <t>Qëllimi i Politikës IV</t>
  </si>
  <si>
    <t>Kosto Korente</t>
  </si>
  <si>
    <t>Kosto Kapitale</t>
  </si>
  <si>
    <t>TOTALI [Leke]</t>
  </si>
  <si>
    <t>TOTALI [Euro]</t>
  </si>
  <si>
    <t>Titulli</t>
  </si>
  <si>
    <t>Institucioni përgjegjës</t>
  </si>
  <si>
    <t>Institucionet kontribuese</t>
  </si>
  <si>
    <t xml:space="preserve">Afati i Zbatimit </t>
  </si>
  <si>
    <t>Afati Fillimit</t>
  </si>
  <si>
    <t xml:space="preserve"> Kosto Total</t>
  </si>
  <si>
    <t>Kostot treguese/2024</t>
  </si>
  <si>
    <t>Kostot treguese/2025</t>
  </si>
  <si>
    <t>Kostot treguese totale</t>
  </si>
  <si>
    <t>Burimi I financimit</t>
  </si>
  <si>
    <t>Totali BSH</t>
  </si>
  <si>
    <t>Financim i Huaj  (në  lekë)</t>
  </si>
  <si>
    <t xml:space="preserve">Emri donatorit/Titullin e projektit </t>
  </si>
  <si>
    <t>Total Financim i Huaj</t>
  </si>
  <si>
    <t>Burimi i Financimit</t>
  </si>
  <si>
    <t xml:space="preserve">Hendeku financiar </t>
  </si>
  <si>
    <t xml:space="preserve"> Kosto Totale</t>
  </si>
  <si>
    <t>Masat</t>
  </si>
  <si>
    <t>MD</t>
  </si>
  <si>
    <t>Objektivat Specifik</t>
  </si>
  <si>
    <t>Kostot treguese</t>
  </si>
  <si>
    <t>Kosto treguese Objektivi specifik 1.1</t>
  </si>
  <si>
    <t>Kosto treguese Objektivi specifik 1.2</t>
  </si>
  <si>
    <t>Institucionet përgjegjegjëse</t>
  </si>
  <si>
    <t>Kosto Indiktive Totale</t>
  </si>
  <si>
    <t>Institucioni kontribues</t>
  </si>
  <si>
    <t>Afati Mbarimit</t>
  </si>
  <si>
    <t>Hendeku Financiar</t>
  </si>
  <si>
    <t>Natyra/ Tipologjia e Kostove</t>
  </si>
  <si>
    <t>Qëllimi i Politikave</t>
  </si>
  <si>
    <t>Kostoja Totale</t>
  </si>
  <si>
    <t xml:space="preserve">Kosto për tu </t>
  </si>
  <si>
    <t>Planifikuar në</t>
  </si>
  <si>
    <t>Kostot e Planifikuara</t>
  </si>
  <si>
    <t>Kosto totale te PKV</t>
  </si>
  <si>
    <t>Institucionet përgjegjëse</t>
  </si>
  <si>
    <t>1.1.1</t>
  </si>
  <si>
    <t>1.1.2</t>
  </si>
  <si>
    <t>1.1.3</t>
  </si>
  <si>
    <t>1.1.4</t>
  </si>
  <si>
    <r>
      <t>Financim i Huaj/Burime t</t>
    </r>
    <r>
      <rPr>
        <b/>
        <sz val="12"/>
        <color rgb="FF000000"/>
        <rFont val="Calibri"/>
        <family val="2"/>
      </rPr>
      <t>ë</t>
    </r>
    <r>
      <rPr>
        <b/>
        <sz val="9"/>
        <color rgb="FF000000"/>
        <rFont val="Times New Roman"/>
        <family val="1"/>
      </rPr>
      <t xml:space="preserve"> tjera</t>
    </r>
    <r>
      <rPr>
        <b/>
        <sz val="12"/>
        <color rgb="FF000000"/>
        <rFont val="Times New Roman"/>
        <family val="1"/>
      </rPr>
      <t xml:space="preserve"> (në lekë)</t>
    </r>
  </si>
  <si>
    <t>1.2.1</t>
  </si>
  <si>
    <t>Kostot treguese/2026</t>
  </si>
  <si>
    <t>Financim i Huaj  (në  lekë)/ose jashte buxhetit</t>
  </si>
  <si>
    <t>DHKN</t>
  </si>
  <si>
    <t>2.3.1</t>
  </si>
  <si>
    <t>Kosto Objektivi specifik 2.3</t>
  </si>
  <si>
    <t>PP</t>
  </si>
  <si>
    <r>
      <rPr>
        <b/>
        <sz val="12"/>
        <color indexed="10"/>
        <rFont val="Times New Roman"/>
        <family val="1"/>
      </rPr>
      <t xml:space="preserve">Kosto totale Qëllimi i Politikës II </t>
    </r>
    <r>
      <rPr>
        <sz val="12"/>
        <color theme="1"/>
        <rFont val="Times New Roman"/>
        <family val="1"/>
      </rPr>
      <t xml:space="preserve">
(objektiva specifike 2.1+2.2+2.3)</t>
    </r>
  </si>
  <si>
    <t>Financim i Huaj /Burime te tjera</t>
  </si>
  <si>
    <t>1.2.2</t>
  </si>
  <si>
    <t>1.1.1.1</t>
  </si>
  <si>
    <t>1.1.1.2</t>
  </si>
  <si>
    <t>1.1.1.3</t>
  </si>
  <si>
    <t>1.1.1.4</t>
  </si>
  <si>
    <t>1.1.2.1</t>
  </si>
  <si>
    <t>1.1.2.2</t>
  </si>
  <si>
    <t>1.1.3.1</t>
  </si>
  <si>
    <t>1.1.4.1</t>
  </si>
  <si>
    <t>1.1.4.2</t>
  </si>
  <si>
    <t>1.2.1.1</t>
  </si>
  <si>
    <t>1.2.1.2</t>
  </si>
  <si>
    <t>1.2.1.3</t>
  </si>
  <si>
    <t>1.2.1.4</t>
  </si>
  <si>
    <t>1.2.2.1</t>
  </si>
  <si>
    <t>1.2.2.2</t>
  </si>
  <si>
    <t>1.2.2.3</t>
  </si>
  <si>
    <t>1.2.2.4</t>
  </si>
  <si>
    <t>2.1.1.1</t>
  </si>
  <si>
    <t>2.1.1.2</t>
  </si>
  <si>
    <t>2.1.1.3</t>
  </si>
  <si>
    <t>2.1.2.1</t>
  </si>
  <si>
    <t>2.1.2.2</t>
  </si>
  <si>
    <t>2.1.2.3</t>
  </si>
  <si>
    <t>SHM</t>
  </si>
  <si>
    <t>2.1.1.4</t>
  </si>
  <si>
    <t>2.1.1.5</t>
  </si>
  <si>
    <t>2.2.2.1</t>
  </si>
  <si>
    <t>2.2.2.2</t>
  </si>
  <si>
    <t>2.2.2.3</t>
  </si>
  <si>
    <t>2.2.3.2</t>
  </si>
  <si>
    <t>2.3.1.2</t>
  </si>
  <si>
    <t>2.3.1.3</t>
  </si>
  <si>
    <t>3.1.1.1</t>
  </si>
  <si>
    <t>3.1.1.2</t>
  </si>
  <si>
    <t>3.1.1.3</t>
  </si>
  <si>
    <t>3.1.1.4</t>
  </si>
  <si>
    <t>3.1.2.1</t>
  </si>
  <si>
    <t>3.1.2.2</t>
  </si>
  <si>
    <t>3.2.1.1</t>
  </si>
  <si>
    <t>3.2.1.2</t>
  </si>
  <si>
    <t>3.2.1.3</t>
  </si>
  <si>
    <t>3.2.2.1</t>
  </si>
  <si>
    <t>3.2.2.2</t>
  </si>
  <si>
    <t>3.2.3.1</t>
  </si>
  <si>
    <t>3.2.3.2</t>
  </si>
  <si>
    <t>3.2.3.3</t>
  </si>
  <si>
    <t>3.3.1.1</t>
  </si>
  <si>
    <t>3.3.1.2</t>
  </si>
  <si>
    <t>3.3.2.1</t>
  </si>
  <si>
    <t>3.3.2.2</t>
  </si>
  <si>
    <t>3.3.3.1</t>
  </si>
  <si>
    <t>3.3.3.2</t>
  </si>
  <si>
    <t>3.3.3.3</t>
  </si>
  <si>
    <t>3.3.3.4</t>
  </si>
  <si>
    <t>3.3.3.5</t>
  </si>
  <si>
    <t>4.1.1.1</t>
  </si>
  <si>
    <t>4.1.1.2</t>
  </si>
  <si>
    <t>4.1.1.3</t>
  </si>
  <si>
    <t>4.1.2.1</t>
  </si>
  <si>
    <t>4.1.2.2</t>
  </si>
  <si>
    <t>4.1.2.3</t>
  </si>
  <si>
    <t>4.1.2.4</t>
  </si>
  <si>
    <t>4.1.3.1</t>
  </si>
  <si>
    <t>4.1.3.2</t>
  </si>
  <si>
    <t>4.2.1.1</t>
  </si>
  <si>
    <t>4.2.1.2</t>
  </si>
  <si>
    <t>4.2.2.1</t>
  </si>
  <si>
    <t>4.2.2.2</t>
  </si>
  <si>
    <t>4.2.3.1</t>
  </si>
  <si>
    <r>
      <t>Financim i Huaj/Burime t</t>
    </r>
    <r>
      <rPr>
        <b/>
        <sz val="12"/>
        <color rgb="FF000000"/>
        <rFont val="Calibri"/>
        <family val="2"/>
      </rPr>
      <t>ë</t>
    </r>
    <r>
      <rPr>
        <b/>
        <sz val="12"/>
        <color rgb="FF000000"/>
        <rFont val="Times New Roman"/>
        <family val="1"/>
      </rPr>
      <t xml:space="preserve"> tjera (në lekë)</t>
    </r>
  </si>
  <si>
    <t>3.2.4</t>
  </si>
  <si>
    <t>3.2.5</t>
  </si>
  <si>
    <t>3.2.4.1</t>
  </si>
  <si>
    <t>3.2.4.2</t>
  </si>
  <si>
    <t>3.2.5.1</t>
  </si>
  <si>
    <t>3.2.5.2</t>
  </si>
  <si>
    <t>3.2.5.3</t>
  </si>
  <si>
    <r>
      <t>N</t>
    </r>
    <r>
      <rPr>
        <sz val="14"/>
        <color theme="0"/>
        <rFont val="Calibri"/>
        <family val="2"/>
      </rPr>
      <t>ë %</t>
    </r>
  </si>
  <si>
    <t>Kostot treguese/2030</t>
  </si>
  <si>
    <t>Kostot treguese/2029</t>
  </si>
  <si>
    <t>Kostot treguese/2028</t>
  </si>
  <si>
    <t>Kostot treguese/2027</t>
  </si>
  <si>
    <t>PBA 2024-2026 (në lekë)</t>
  </si>
  <si>
    <t>Buxheti 2027-2030 (në lekë)</t>
  </si>
  <si>
    <t>1.1.3.2</t>
  </si>
  <si>
    <t>1.1.3.3</t>
  </si>
  <si>
    <t>1.1.3.4</t>
  </si>
  <si>
    <t>1.1.3.5</t>
  </si>
  <si>
    <t>1.2.3.2</t>
  </si>
  <si>
    <t>PBA 2024-2026 ( në Lekë)</t>
  </si>
  <si>
    <t>Burimi i mbulimit deri ne 2026</t>
  </si>
  <si>
    <t>Hendeku financiar
2024-2030
(në Lekë)</t>
  </si>
  <si>
    <t>2024-2030</t>
  </si>
  <si>
    <t>PBA 2024-2026</t>
  </si>
  <si>
    <t xml:space="preserve"> Buxhetin 2027-2030</t>
  </si>
  <si>
    <t>2.4.1</t>
  </si>
  <si>
    <t>2.4.1.1</t>
  </si>
  <si>
    <t>2.4.1.2</t>
  </si>
  <si>
    <t>2.4.2</t>
  </si>
  <si>
    <t>2.4.2.1</t>
  </si>
  <si>
    <t>2.4.2.2</t>
  </si>
  <si>
    <t>2.4.2.3</t>
  </si>
  <si>
    <t>2.4.2.4</t>
  </si>
  <si>
    <t>2.4.3</t>
  </si>
  <si>
    <t>2.4.3.1</t>
  </si>
  <si>
    <t>2.4.3.2</t>
  </si>
  <si>
    <t>2.4.3.3</t>
  </si>
  <si>
    <t>PP, SPAK</t>
  </si>
  <si>
    <t>2.4.3.4</t>
  </si>
  <si>
    <t>Kosto Objektivi specifik 2.4</t>
  </si>
  <si>
    <t>PP, DPPSH</t>
  </si>
  <si>
    <t>3.1.2.3</t>
  </si>
  <si>
    <t>3.1.2.4</t>
  </si>
  <si>
    <t>3.1.3</t>
  </si>
  <si>
    <t>3.1.4</t>
  </si>
  <si>
    <t>3.1.5</t>
  </si>
  <si>
    <t>3.1.6</t>
  </si>
  <si>
    <t>3.1.7</t>
  </si>
  <si>
    <t>3.1.4.1</t>
  </si>
  <si>
    <t>3.1.4.2</t>
  </si>
  <si>
    <t>3.1.4.3</t>
  </si>
  <si>
    <t>3.1.5.2</t>
  </si>
  <si>
    <t>3.1.5.3</t>
  </si>
  <si>
    <t>3.1.5.4</t>
  </si>
  <si>
    <t>3.1.5.5</t>
  </si>
  <si>
    <t>3.1.5.6</t>
  </si>
  <si>
    <t>3.1.6.1</t>
  </si>
  <si>
    <t>3.1.6.2</t>
  </si>
  <si>
    <t>3.1.6.3</t>
  </si>
  <si>
    <t>3.1.6.4</t>
  </si>
  <si>
    <t>3.1.7.1</t>
  </si>
  <si>
    <t>3.1.8.3</t>
  </si>
  <si>
    <t>3.2.6</t>
  </si>
  <si>
    <t>3.2.4.3</t>
  </si>
  <si>
    <t>3.2.6.1</t>
  </si>
  <si>
    <t>3.2.6.2</t>
  </si>
  <si>
    <t>3.2.6.3</t>
  </si>
  <si>
    <t>3.2.4.4</t>
  </si>
  <si>
    <t>3.3.1.3</t>
  </si>
  <si>
    <t>3.3.1.4</t>
  </si>
  <si>
    <t>4.1.2.5</t>
  </si>
  <si>
    <t>Partnerë vendas dhe ndërkombëtar</t>
  </si>
  <si>
    <t>4.2.2.3</t>
  </si>
  <si>
    <t>MTBP 2024-2026</t>
  </si>
  <si>
    <t>Buxheti 2027-2030</t>
  </si>
  <si>
    <t>Hendek financiar 2024-2030</t>
  </si>
  <si>
    <t>Buxheti &amp; Donator</t>
  </si>
  <si>
    <t>II. Programi buxhetor që kontribuon për qëllimin e politikës: 10430 Përkujdesja Sociale, 08330 Prodhime filmike ose veprimtari artistike mbarekombetare (19), 01110 Planifikimi, Menaxhimi dhe Administrimi (28), 01110 Planifikimi, Menaxhimi dhe Administrimi (29), 03140 Policia e Shtetit, 03310 Ndihma Juridike (14), 03320 Shërbimi I Avokatisë,  01110 Planifikimi, Menaxhimi dhe Administrimi (91), 08610 Mbështetje për  Rininë dhe Fëmijët, 08330 Prodhime filmike ose veprimtari artistike mbarekombetare (19), 09120 Arsimi Bazë (perfshire parashkollorin), 03140 Policia e Shtetit, 03390 Veprimtaria e SPAK</t>
  </si>
  <si>
    <t>III. Programi buxhetor që kontribuon për qëllimin e politikës: 01110 Planifikimi, Menaxhimi dhe Administrimi (28), 03140 Policia e Shtetit (16), AS, 03140 Policia e Shtetit (16), AS, 03390 Veprimtaria e SPAK, 01110 Planifikimi, Menaxhimi dhe Administrimi (29), 03310 Ndihma Juridike (14, ) 01110 Planifikimi, Menaxhimi dhe Administrimi (29), 10430 Përkujdesja Sociale, 01110 Veprimtaria e KLP (35), 03310 Ndihma Juridike (14), 01110 Planifikimi, Menaxhimi dhe Administrimi (KLGJ 29), 01110 Planifikimi, Menaxhimi dhe Administrimi (89)</t>
  </si>
  <si>
    <t>Plani Veprimit " Strategjia për Mbrojtjen e Viktimave të Krimit"
 2024-2030</t>
  </si>
  <si>
    <t>2.2.1.1</t>
  </si>
  <si>
    <t>2.2.1.2</t>
  </si>
  <si>
    <t>2.2.1.3</t>
  </si>
  <si>
    <t>2.2.1.4</t>
  </si>
  <si>
    <t>2.2.1.5</t>
  </si>
  <si>
    <t>Qellimi i Politikes 1 - Konsolidimi dhe qendrueshmeria e arritjeve te reformes ne drejtesi ne perputhje me standartet Evropiane</t>
  </si>
  <si>
    <t>Qellimi i Politikes 1 - Konsolidimi dhe qendrueshmeria e arritjeve te reformes ne drejtesi ne perputhje me standartet Evropiane.</t>
  </si>
  <si>
    <t>OS.1.1 - Përditësimi i legjislacionit të reformës në drejtësi në përputhje me parimet e pavarësisë, llogaridhënies, efikasitetit, cilësisë dhe sigurimi i harmonizimit të legjislacionit shqiptar me acquis të BE-së.</t>
  </si>
  <si>
    <t>1.1.1 Koordinimi i zhvillimit dhe zbatimit të politikave shtetërore në lidhje me rritjen e pavarësisë, përgjegjëshmërisë, cilësisë dhe efikasitetin e drejtësisë.</t>
  </si>
  <si>
    <t>Zbatimi i angazhimeve te ndermarra ne SND 2024-2030, Udherrefyesin e Shtetit te se Drejtes nga institucionet zbatuese dhe hartimi i Raporteve periodike te monitorimit sipas percaktimeve ligjore</t>
  </si>
  <si>
    <t xml:space="preserve">Zhvillimi i takimeve periodike nga ana e MD lidhur me pasqyrimin e gjetjeve te raporteve te monitorimit dhe hapave që do te ndiqen në të ardhmen </t>
  </si>
  <si>
    <t>Mbledhja dhe analizimi i të dhënave statistikore me qëllim marrjen e vendimeve mbi politikat e përgjithshme në sektorin e drejtësisë</t>
  </si>
  <si>
    <r>
      <t xml:space="preserve">Bashkëpunimi me KLGJ dhe KLP për hartimin, miratimin dhe zbatimin prej këtyre të fundit të një planeve strategjike për sistemin gjyqësor dhe për sistemin e prokurorisë, në përputhje me </t>
    </r>
    <r>
      <rPr>
        <i/>
        <sz val="10"/>
        <color theme="1"/>
        <rFont val="Times New Roman"/>
        <family val="1"/>
      </rPr>
      <t>acquis</t>
    </r>
    <r>
      <rPr>
        <sz val="10"/>
        <color theme="1"/>
        <rFont val="Times New Roman"/>
        <family val="1"/>
      </rPr>
      <t xml:space="preserve"> të BE-së dhe standardet evropiane dhe që forcojnë më tej parimet e reformës në drejtësi të vitit 2016</t>
    </r>
  </si>
  <si>
    <t>MD,  Institucionet zbatuese të SND 2024-2030 dhe Udhërrëfyesit të Shtetit të së Drejtës</t>
  </si>
  <si>
    <t xml:space="preserve"> KLGJ, KLP</t>
  </si>
  <si>
    <t xml:space="preserve"> Institucionet zbatuese të SND 2024-2030 dhe Udhërrëfyesit të Shtetit të së Drejtës</t>
  </si>
  <si>
    <t>MD,  Institucionet zbatuese të SND 2024-2030 dhe Udhërrëfyesit të Shtetit të së Drejtës, KLGJ, KLP</t>
  </si>
  <si>
    <t>1.1.2.3</t>
  </si>
  <si>
    <t>1.1.2.4</t>
  </si>
  <si>
    <t>1.1.2.5</t>
  </si>
  <si>
    <t>1.1.2.6</t>
  </si>
  <si>
    <t>1.1.2.7</t>
  </si>
  <si>
    <t>1.1.2 Përditësimi i Kodit Penal në përputhje me acquis të BE.</t>
  </si>
  <si>
    <r>
      <t xml:space="preserve">Identifikimi i </t>
    </r>
    <r>
      <rPr>
        <i/>
        <sz val="10"/>
        <color theme="1"/>
        <rFont val="Times New Roman"/>
        <family val="1"/>
      </rPr>
      <t>acquis</t>
    </r>
    <r>
      <rPr>
        <sz val="10"/>
        <color theme="1"/>
        <rFont val="Times New Roman"/>
        <family val="1"/>
      </rPr>
      <t xml:space="preserve"> të Bashkimit Evropian për ndryshimet në Kodin Penal me synim ofrimin e ndryshimeve për garantimin e efikasitetit të drejtësisë, në përputhje me acquis dhe praktikat më të mira të BE-së.</t>
    </r>
  </si>
  <si>
    <t xml:space="preserve">Kryerja e analizës dhe përgatitja e tabelave të përputhshmërisë </t>
  </si>
  <si>
    <t xml:space="preserve"> Identifikimi i boshllëqeve ligjore</t>
  </si>
  <si>
    <t xml:space="preserve">Hartimi i projektligjit për ndryshimet përkatëse </t>
  </si>
  <si>
    <t xml:space="preserve">Konsultimi dhe organizimi i tryezave me grupet e interesit   </t>
  </si>
  <si>
    <t xml:space="preserve"> Miratimi i ndryshimeve ligjore</t>
  </si>
  <si>
    <t>Hartimi i metodologjisë për vlerësimin ex post të akteve</t>
  </si>
  <si>
    <t>Vleresime periodike te shkalles se zbatimit te legjislacionit te miratuar (ex-post)</t>
  </si>
  <si>
    <t xml:space="preserve">MD, Drejtoria e Kodifikimit, </t>
  </si>
  <si>
    <t>MD, Drejtoria e Kodifikimit</t>
  </si>
  <si>
    <t>Kuvendi</t>
  </si>
  <si>
    <t>Institucionet e sistemit të drejtësisë</t>
  </si>
  <si>
    <t xml:space="preserve">1.1.3 	Përditësimi i Kodit të Procedurës Penale në përputhje me acquis të BE . </t>
  </si>
  <si>
    <t>1.1.3.6</t>
  </si>
  <si>
    <t>1.1.3.7</t>
  </si>
  <si>
    <t>MD, Drejtoria e Kodifikimit, Institucionet e sistemit të drejtësisë</t>
  </si>
  <si>
    <t>MD, Kuvendi</t>
  </si>
  <si>
    <t>1.1.4 Përditësimi i Kodit Civil në përputhje me acquis të BE</t>
  </si>
  <si>
    <t>1.1.4.7</t>
  </si>
  <si>
    <t>1.1.4.6</t>
  </si>
  <si>
    <t>1.1.4.5</t>
  </si>
  <si>
    <t>1.1.4.4</t>
  </si>
  <si>
    <t>1.1.4.3</t>
  </si>
  <si>
    <t>1.1.5</t>
  </si>
  <si>
    <t>1.1.5  Përditësimi i Kodit të Procedurës Civile në përputhje me acquis të BE</t>
  </si>
  <si>
    <t>1.1.5.1</t>
  </si>
  <si>
    <t>1.1.5.2</t>
  </si>
  <si>
    <t>1.1.5.3</t>
  </si>
  <si>
    <t>1.1.5.4</t>
  </si>
  <si>
    <t>1.1.5.5</t>
  </si>
  <si>
    <t>1.1.5.6</t>
  </si>
  <si>
    <t>1.1.5.7</t>
  </si>
  <si>
    <t>1.1.6</t>
  </si>
  <si>
    <t>1.1.6.1</t>
  </si>
  <si>
    <t>1.1.6.2</t>
  </si>
  <si>
    <t>1.1.6.3</t>
  </si>
  <si>
    <t>1.1.6.4</t>
  </si>
  <si>
    <t>1.1.6.5</t>
  </si>
  <si>
    <t>1.1.6.6</t>
  </si>
  <si>
    <t>1.1.6.7</t>
  </si>
  <si>
    <t>1.1.6  Përditësimi i Kodit Familjar në përputhje me acquis të BE për sistemin e drejtësisë</t>
  </si>
  <si>
    <t>1.1.7</t>
  </si>
  <si>
    <t>1.1.7.1</t>
  </si>
  <si>
    <t>1.1.7.2</t>
  </si>
  <si>
    <t>1.1.7.3</t>
  </si>
  <si>
    <t>1.1.7.4</t>
  </si>
  <si>
    <t>1.1.7.5</t>
  </si>
  <si>
    <t>1.1.7.6</t>
  </si>
  <si>
    <t>1.1.7.7</t>
  </si>
  <si>
    <t>1.1.8</t>
  </si>
  <si>
    <t>1.1.8.1</t>
  </si>
  <si>
    <t>1.1.8.2</t>
  </si>
  <si>
    <t>1.1.8.3</t>
  </si>
  <si>
    <t>1.1.8.4</t>
  </si>
  <si>
    <t>1.1.8.5</t>
  </si>
  <si>
    <t>1.1.8.6</t>
  </si>
  <si>
    <t>1.1.8.7</t>
  </si>
  <si>
    <t>1.1.8.9</t>
  </si>
  <si>
    <t>1.1.8.10</t>
  </si>
  <si>
    <t>1.1.8.11</t>
  </si>
  <si>
    <t>1.1.8 . Kontrollet e rregullta të përshtatshmërisë ligjore dhe miratimi i ndryshimeve ligjore të nevojshme për konsolidimin, pavarësinë, integritetin, efikasitetin dhe rritjen e besimit të publikut, ndërmerren në përputhje me acquis të BE-së dhe standardet evropiane dhe forcojnë më tej parimet e reformës në drejtësi të vitit 2016</t>
  </si>
  <si>
    <t>Të kryhen analiza të ligjeve të reformës mbi bazën e gjetjeve dhe shqetësimeve të institucioneve të drejtësisë dhe MD-së në lidhje me dispozitat ligjore që rregullojnë pavarësinë, paanshmërinë,  integritetin, transparencën dhe besimin e publikut .</t>
  </si>
  <si>
    <t>Identifikimi i ligjeve të reformës që duhet të ndryshohen për të siguruar konsolidimin e procesit të reformës,  për garantimin e pavarësisë dhe paanshmërisë së gjyqtarëve, duke rritur integritetin e tyre dhe besimin e publikut në gjyqësor.</t>
  </si>
  <si>
    <t>Hartimi i propozimeve për amendamentet e ligjit:</t>
  </si>
  <si>
    <t>Sigurimi i amendamenteve të propozuara dhe amendamenteve të miratuara të ligjeve të reformës forcon më tej parimet e reformës në drejtësi të vitit 2016.</t>
  </si>
  <si>
    <r>
      <t xml:space="preserve">Sigurimi i harmonizimit të ndryshimeve të ligjeve të reformës në drejtësi me </t>
    </r>
    <r>
      <rPr>
        <i/>
        <sz val="12"/>
        <color theme="1"/>
        <rFont val="Times New Roman"/>
        <family val="1"/>
      </rPr>
      <t>acquis</t>
    </r>
    <r>
      <rPr>
        <sz val="12"/>
        <color theme="1"/>
        <rFont val="Times New Roman"/>
        <family val="1"/>
      </rPr>
      <t xml:space="preserve"> të BE-së nëpërmjet analizave krahasuese të amendamenteve të propozuara dhe acquis përkatëse të BE-së .</t>
    </r>
  </si>
  <si>
    <t>DPP, MD/Kodifikimi</t>
  </si>
  <si>
    <t>DPP</t>
  </si>
  <si>
    <t>1.1.9</t>
  </si>
  <si>
    <t xml:space="preserve">1.1.9.1 </t>
  </si>
  <si>
    <t>1.1.9.2</t>
  </si>
  <si>
    <t>1.1.9.3</t>
  </si>
  <si>
    <t>1.1.9.4</t>
  </si>
  <si>
    <t>1.1.9.5</t>
  </si>
  <si>
    <t>Hartimi dhe botimi i Raportit final të vendimmarrjes dhe të veprimtarisë së Komisionit të Pavarur të Kualifikimit 2017-2024</t>
  </si>
  <si>
    <t>Studim krahasues i Ligjit të Vetting-ut, Ligjit për Statusin, Ligjit per Institucionet e Antikorrupsionit (nr.95 2016) dhe ligjit për ILDKPKI-në,duke përfshirë aty ku është e nevojshme hartimin e propozimeve për identifikimin e dispozitave ligjore duke siguruar ne vijimësi efikasitetin e rregullave për kontrollet e pasurisë dhe të figurës së magjistratëve dhe anëtarëve të tjerë  jo-magjistratë të organeve të sistemit të drejtësisë (studim i përgatitur bashkërisht nga një grup pune: KLGJ, KLP, SPAK, BKH, ILDKPKI dhe ILD).</t>
  </si>
  <si>
    <t xml:space="preserve">Hartimi i propozimeve ligjore dhe kryerja e  procesit të konsultimit. </t>
  </si>
  <si>
    <t xml:space="preserve">Miratimi i amendamenteve nga Kuvendi. </t>
  </si>
  <si>
    <t>Vleresimi i zbatueshmerise se amendamenteve te miratuara (Raportime vleresimi per permiresimin e implementimit te amendamenteve te ligjit)</t>
  </si>
  <si>
    <t xml:space="preserve">KPK  </t>
  </si>
  <si>
    <t>KLGJ, ILD, KLP, ILDKPKI, SPAK, BKH</t>
  </si>
  <si>
    <t>Kuvendi,  MD</t>
  </si>
  <si>
    <t>MD, Kuvendi, KPK, KLGJ, ILD, KLP, ILDKPKI, SPAK, BKH</t>
  </si>
  <si>
    <t xml:space="preserve">2025
</t>
  </si>
  <si>
    <t>1.1.10</t>
  </si>
  <si>
    <t>1.1.10.1</t>
  </si>
  <si>
    <t>1.1.10.9</t>
  </si>
  <si>
    <t>1.1.10.8</t>
  </si>
  <si>
    <t>1.1.10.7</t>
  </si>
  <si>
    <t>1.1.10.6</t>
  </si>
  <si>
    <t>1.1.10.5</t>
  </si>
  <si>
    <t>1.1.10.4</t>
  </si>
  <si>
    <t>1.1.10.3</t>
  </si>
  <si>
    <t>1.1.10.2</t>
  </si>
  <si>
    <t>1.1.10 . Kryerja e ndryshimeve ligjore për masat që sigurojnë efikasitet lidhur me kapacitetet njerëzore.</t>
  </si>
  <si>
    <t>KLGJ</t>
  </si>
  <si>
    <t>GJKKO</t>
  </si>
  <si>
    <t>SPAK</t>
  </si>
  <si>
    <t>KLGJ, PP, GJKKO, SPAK</t>
  </si>
  <si>
    <t xml:space="preserve">Ngritja e një Grupi Pune nga KLGJ-ja për analizimin e gjendjes aktuale të efikasitetit në drejtësi dhe sugjerimin e masave. </t>
  </si>
  <si>
    <t xml:space="preserve">Kryerja e analizave dhe adresimit të gjetjeve të tyre për rritjen e efikasitetit të institucionit përgjegjës </t>
  </si>
  <si>
    <t xml:space="preserve">Analizë dhe propozime për amendimin e ligjit për hapjen e vakancave për ndihmës ligjore pranë GJKKO </t>
  </si>
  <si>
    <t>Miratimi i ndryshimeve ligjore/nenligjore dhe akteve të tjera rregulluese per hapjen, shpalljen dhe plotësimin e vendeve vakante për ndihmës ligjore pranë GJKKO.</t>
  </si>
  <si>
    <t xml:space="preserve">Vleresimi mbi implementimin e ndryshimeve ligjore/nenligjore dhe akteve te tjera rregulluese per hapjen, shpalljen dhe plotesimin e vendeve vakante per ndihmes ligjore prane GJKKO dhe ndikimit ne efektivitetin e tyre </t>
  </si>
  <si>
    <t>Analize dhe propozime per ndryshimin e ligjit per hapjen e vakancave për keshilltar ligjor prane Prokurorise se Posacme</t>
  </si>
  <si>
    <t xml:space="preserve">Miratimi i ndryshimeve ligjore/nenligjore dhe akteve te tjera rregulluese per hapjen, shpalljen dhe plotesimin e vendeve vakante per keshilltar ligjore prane Prokurorise se Posacme </t>
  </si>
  <si>
    <t xml:space="preserve">Vleresimi mbi implementimin e ndryshimeve ligjore/nenligjore dhe akteve te tjera rregulluese per hapjen, shpalljen dhe plotesimin e vendeve vakante per keshilltar ligjore prane Prokurorise se Posacme dhe ndikimit ne efektivitetin e tyre. Ky vleresim do te jete subjekt i emerimit te keshilltareve ligjor. </t>
  </si>
  <si>
    <t>1.1.11</t>
  </si>
  <si>
    <t xml:space="preserve">Ngritja e një grupi pune për analizën e kuadrit ligjor ekzistues që rregullon pasojat e shkarkimit/dorëheqjes së magjistratëve gjatë vetting-ut. </t>
  </si>
  <si>
    <t>Projektpropozimet për ndryshimet në ligjin per qeverisjen e organeve te drejtesise me qëllim vendosjen e dispozitave te qarta ligjore mbi perjashtimet e ish-magjistrateve te shkarkuar/dorëhequr gjatë procesit të vetting-ut nga ushtrimi i detyrave dhe aktiviteteve ne institucionet e qeverisjes së drejtësisë (KLGJ, KLP, ILD, SHM).</t>
  </si>
  <si>
    <t xml:space="preserve">Konsultime publike të organizuara nga MD-ja. </t>
  </si>
  <si>
    <t xml:space="preserve">Amendamentet e ligjit per qeverisjen e organeve te drejtesise të miratuara nga Kuvendi. </t>
  </si>
  <si>
    <t>1.1.11.1</t>
  </si>
  <si>
    <t>1.1.11.2</t>
  </si>
  <si>
    <t>1.1.11.3</t>
  </si>
  <si>
    <t>1.1.11.4</t>
  </si>
  <si>
    <t>MD/Kodifikimi, ShM, KLGJ, KLP, ILD</t>
  </si>
  <si>
    <t>KUVENDI</t>
  </si>
  <si>
    <t>1.1.12</t>
  </si>
  <si>
    <t xml:space="preserve">1.1.12. Forcimi i kapaciteteve të Shkollës së Magjistraturës </t>
  </si>
  <si>
    <t>1.1.12.1</t>
  </si>
  <si>
    <t>1.1.12.2</t>
  </si>
  <si>
    <t>1.1.12.3</t>
  </si>
  <si>
    <t>1.1.12.4</t>
  </si>
  <si>
    <t>ShM-ja kryen një analizë në lidhje me ndryshimet ligjore të nevojshme për të forcuar kapacitetet e saj, duke përfshirë: 
-        hulumtimet mbi praktikat dhe standardet më të mira evropiane në lidhje me kapacitetin e shkollave të magjistraturës në Evropë;
-        dallimet e qarta ndërmjet aspekteve që mund të rregullohen me akte nënligjore dhe atyre që kërkojnë ndryshime ligjore.</t>
  </si>
  <si>
    <t xml:space="preserve">Amendamentet e Ligjit të miratuara nga Kuvendi </t>
  </si>
  <si>
    <r>
      <t xml:space="preserve">Bashkëpunim i ngushtë ndërmjet Drejtorisë së Kodifikimit të MD-së dhe SHM-së në hartimin e një propozimi për ndryshimet e nevojshme të Ligjit të Qeverisjes, në përputhje me </t>
    </r>
    <r>
      <rPr>
        <i/>
        <sz val="12"/>
        <color theme="1"/>
        <rFont val="Times New Roman"/>
        <family val="1"/>
      </rPr>
      <t>acquis</t>
    </r>
    <r>
      <rPr>
        <sz val="12"/>
        <color theme="1"/>
        <rFont val="Times New Roman"/>
        <family val="1"/>
      </rPr>
      <t xml:space="preserve"> të BE-së.</t>
    </r>
  </si>
  <si>
    <t>MD/Kodifikimi, SHM, Kuvendi</t>
  </si>
  <si>
    <t>1.1.13</t>
  </si>
  <si>
    <t>1.1.13.1</t>
  </si>
  <si>
    <t>1.1.13.10</t>
  </si>
  <si>
    <t>1.1.13.9</t>
  </si>
  <si>
    <t>1.1.13.8</t>
  </si>
  <si>
    <t>1.1.13.7</t>
  </si>
  <si>
    <t>1.1.13.6</t>
  </si>
  <si>
    <t>1.1.13.5</t>
  </si>
  <si>
    <t>1.1.13.4</t>
  </si>
  <si>
    <t>1.1.13.3</t>
  </si>
  <si>
    <t>1.1.13.2</t>
  </si>
  <si>
    <t xml:space="preserve">SPAK, BKH, KLGJ </t>
  </si>
  <si>
    <t>SPAK, BKH, KLGJ</t>
  </si>
  <si>
    <t>GJKKO, KLGJ</t>
  </si>
  <si>
    <t>SPAK, BKH, KLGJ, GJKKO</t>
  </si>
  <si>
    <t xml:space="preserve">Hartimi i një plani për plotësimin e vendeve vakante pranë Gjykatave Speciale, SPAK-ut dhe BKH-së dhe hartimi i një kërkese arsyetuese për pozicione shtesë, sipas nevojës. </t>
  </si>
  <si>
    <t>Plotesimi i vakancave per ekspert financiar, staf administrativ, hetues financiar nga SPAK</t>
  </si>
  <si>
    <t>Plotesimi i 2 vakancave per prokuror per SPAK brenda 2024.</t>
  </si>
  <si>
    <t xml:space="preserve">Kryerja e aktiviteteve përkatëse si publikimi i thirrjeve, caktimi i komisioneve, intervistat dhe provimet etj., duke ndjekur rregullat dhe procedurat e parashikuara me ligj dhe akte nënligjore, duke synuar plotësimin e të gjitha pozicioneve vakante në SPAK, Gjykatë të Posaçme dhe BKH(me urdher te brendshem). </t>
  </si>
  <si>
    <t xml:space="preserve">Riorganizimi i strukturës së GJKKO me qëllim rritjen e eficences </t>
  </si>
  <si>
    <t xml:space="preserve">Plotësimi i 5 vendeve vakante për gjykatës nga GJKKO </t>
  </si>
  <si>
    <t>GJKKO mbushja e vende e te reja te sapokrijuara per ndihmesa ligjorë deri ne fund 2027</t>
  </si>
  <si>
    <t xml:space="preserve">Hartimi i një analize të nevojave për trajnim (ANT) dhe Planit të Ngritjes së Kapaciteteve (PNK) nepermjet trajnimeve çdo vit, të ndarë sipas nevojave të grupeve përkatëse të magjistratëve dhe personelit administrativ në SPAK, Gjykatë të Posaçme dhe BKH. </t>
  </si>
  <si>
    <t xml:space="preserve">Sigurimi i trajnimit te posacem dhe vazhdues per ndihmesat ligjore </t>
  </si>
  <si>
    <t>Zbatimi i PNK-së vleresohet nga vete institucionet rregullisht.</t>
  </si>
  <si>
    <t>OS. 1.2 - Përfundimi i procesit të rivlerësimit kalimtar (vetting-ut) brenda afateve kushtetuese dhe vendosja e mekanizmave për të siguruar qëndrueshmërinë e këtij procesi</t>
  </si>
  <si>
    <t xml:space="preserve">1.2.1 Komisioni i Pavarur i Kualifikimit  dhe Komisioneri Publik sigurojnë   finalizimin e të gjitha çështjeve pezull të verifikimit </t>
  </si>
  <si>
    <t>KPK, IKP</t>
  </si>
  <si>
    <t>ASHSGJ</t>
  </si>
  <si>
    <t>Plani i punës dhe kalendari për çështjet e mbetura të vetting-ut, duke marrë parasysh afatet kushtetuese që synojnë përfundimin e të gjitha çështjeve brenda shtatorit 2024 (duke i lejuar Komisionerit Publik të ankimojë vendimet e KPK-së.)</t>
  </si>
  <si>
    <t xml:space="preserve">Zbatimi i planit të punës dhe kalendarit. </t>
  </si>
  <si>
    <t>Dorëzimi  përfundimtar i dosjeve të KPK-së dhe KP pranë ASHSGJ</t>
  </si>
  <si>
    <t>1.2.3</t>
  </si>
  <si>
    <t xml:space="preserve">1.2.2  Kolegji i Posaçëm i Apelimit përshpejton ritmin në gjykimin e ankimimeve dhe ndërmerr të gjithë hapat përkatës për të siguruar finalizimin e çështjeve dhe përmbush sistematikisht parashikimet e saj brenda afatit kushtetues	</t>
  </si>
  <si>
    <t xml:space="preserve">KPA </t>
  </si>
  <si>
    <t>1.2.3.1</t>
  </si>
  <si>
    <t xml:space="preserve">1.2.3  Institucionet e vetting-ut sigurojnë referimin sistematik të çështjeve në prokurori, ku ka dyshime për elementë penalë	</t>
  </si>
  <si>
    <t>KPK</t>
  </si>
  <si>
    <t>1.2.4 Shërbimet e prokurorisë në mënyrë proaktive nisin procedimin penal ndaj gjyqtarëve dhe prokurorëve, procesi i  vetting-ut  të të cilëve ka zbuluar elementë penalë.</t>
  </si>
  <si>
    <t xml:space="preserve">1.2.4 </t>
  </si>
  <si>
    <t>1.2.4.1</t>
  </si>
  <si>
    <t>1.2.4.2</t>
  </si>
  <si>
    <t>1.2.4.3</t>
  </si>
  <si>
    <t>1.2.4.4</t>
  </si>
  <si>
    <t>1.2.4.5</t>
  </si>
  <si>
    <t xml:space="preserve"> PP/KPK, KPA</t>
  </si>
  <si>
    <t>SPAK, PP</t>
  </si>
  <si>
    <t>PP/KPK, KPA, SPAK, GJKKO</t>
  </si>
  <si>
    <t>Prokuroritë e juridiksionit të përgjithshëm do të vlerësojmë me prioritet çdo referim të ardhur nga KPK, KPA, cdo institucion apo individ lidhur me ish prokurorë apo gjyqtarë të shkarkuar nga procesi i rivlerësimit</t>
  </si>
  <si>
    <t xml:space="preserve">Analiza të rregullta për hapjen e hetimeve penale në bazë të gjetjeve të vettingut dhe procedimet penale të përfunduara me vendim të formës së prerë. </t>
  </si>
  <si>
    <t xml:space="preserve">GJKKO raporton rregullisht per ceshtjet e lidhura me ndjekjen penale te ish-magjistrateve te larguar nga procesi i vetting-ut  te cilat jane ne gjykim ose jane pushuar. </t>
  </si>
  <si>
    <t>OS. 1.3. - Ruajtja dhe zhvillimi i mëtejshëm i kapacitetit profesional, pavarësisë dhe efikasitetit të organeve të qeverisjes së drejtësisë</t>
  </si>
  <si>
    <r>
      <t xml:space="preserve">Përditësimet e rregullta nëpërmjet deklaratave publike për statusin e çështjeve penale kanë nisur ndjekjen e gjetjeve të çështjeve të vetting-ut. Vazhdimi per praktiken e njoftimit te publikut per ceshtjet e hetuara nga </t>
    </r>
    <r>
      <rPr>
        <b/>
        <sz val="12"/>
        <rFont val="Times New Roman"/>
        <family val="1"/>
      </rPr>
      <t>SPAK</t>
    </r>
    <r>
      <rPr>
        <sz val="12"/>
        <rFont val="Times New Roman"/>
        <family val="1"/>
      </rPr>
      <t xml:space="preserve"> sipas ligjit.</t>
    </r>
  </si>
  <si>
    <t>1.3.1</t>
  </si>
  <si>
    <t>1.3.1.1</t>
  </si>
  <si>
    <t>1.3.1.2</t>
  </si>
  <si>
    <t>1.3.1.3</t>
  </si>
  <si>
    <t>1.3.1.4</t>
  </si>
  <si>
    <t>1.3.1 KLP-ja miraton legjislacionin e nevojshëm dytësor për të përfunduar procedurën e vlerësimit për prokurorët. (KLP-ja miraton rregullat e procedurave të vlerësimit në PP dhe rregullat e procedurës për drejtuesit e prokurorive)</t>
  </si>
  <si>
    <t xml:space="preserve">KLP-ja krijon një grup pune për hartimin e akteve nënligjore që mungojnë në lidhje me vlerësimin e performancës së prokurorëve </t>
  </si>
  <si>
    <t xml:space="preserve">Grupi i Punës kryen një analizë për pjesët e legjislacionit dytësor që mungojnë në lidhje me vlerësimin e performancës së prokurorëve dhe miraton një plan për aktet nënligjore. </t>
  </si>
  <si>
    <t xml:space="preserve">KLP-ja harton propozime për ndryshime në aktet nënligjore ekzistuese për vlerësimin e performancës. </t>
  </si>
  <si>
    <t xml:space="preserve">KLP-ja miraton aktet nënligjore për prokurorët. </t>
  </si>
  <si>
    <t>KLP</t>
  </si>
  <si>
    <t>2024</t>
  </si>
  <si>
    <t>2025</t>
  </si>
  <si>
    <t xml:space="preserve">1.3.2 </t>
  </si>
  <si>
    <t>1.3.2.1</t>
  </si>
  <si>
    <t>1.3.2.2</t>
  </si>
  <si>
    <t>1.3.2  Këshilli i Emërimeve në Drejtësi duhet të përafrojë plotësisht procedurat e tij me rekomandimet e Komisionit të Venecias dhe të rrisë transparencën</t>
  </si>
  <si>
    <t>KED</t>
  </si>
  <si>
    <t>GJL</t>
  </si>
  <si>
    <t xml:space="preserve">KED-ja kryen një rishikim të akteve nënligjore për t'i përafruar ato me rekomandimet e Komisionit të Venecias. </t>
  </si>
  <si>
    <t xml:space="preserve">Publikimi i akteve nënligjore dhe publikimi i rregullt i dokumenteve të tjera përkatëse të KED-së në faqen e dedikuar të internetit të GJL-së për të rritur transparencën e aktiviteteve të KED-së. </t>
  </si>
  <si>
    <t xml:space="preserve">1.3.3 </t>
  </si>
  <si>
    <t>1.3.3 Organet e qeverisjes së drejtësisë të përfshira në vettingun e anëtarëve të Këshillave ose të Inspektorit të Lartë të Drejtësisë, veçanërisht anëtarëve jo magjistratë duhet të marrin masa të rregullta për rritjen e kapaciteteve për kontrollin e figurës dhe të pasurisë/integritetit</t>
  </si>
  <si>
    <t>1.3.3.1</t>
  </si>
  <si>
    <t>1.3.3.2</t>
  </si>
  <si>
    <t>1.3.3.3</t>
  </si>
  <si>
    <t xml:space="preserve">Institucionet përgjegjëse për kryerjen e kontrolleve të figurës dhe të pasurisë së anëtarëve të Këshillave dhe të ILD-së, hartojnë një analizë mbi masat e nevojshme për përmirësimin e procesit të kontrollit te figures dhe pasurise (p.sh. masat organizative, ngritja e njësisë së specializuar e kontrollit etj.) </t>
  </si>
  <si>
    <t xml:space="preserve">Kryerja e trajnimeve që bazohen në programet e Analizës së Nevojave për Trajnim dhe Ngritjes së Kapaciteteve, për stafin që merret me kontrollin e figurës dhe të pasurisë së anëtarëve të Këshillave. </t>
  </si>
  <si>
    <t xml:space="preserve">Institucionet pergjegjese per kryerjen e kontrollit te figures dhe pasurise te anetareve jo-magjistrate te Keshillave dhe ILD, garantojne transparence te  vendimeve te arsyetuara,  vecanerisht per kandidatet e shkarkuar.  </t>
  </si>
  <si>
    <t xml:space="preserve"> Kuvendi, Avokati  Popullit</t>
  </si>
  <si>
    <t>KLGJ, KLP, ILD, SHM, Komisioni i Shoqërisë Civile</t>
  </si>
  <si>
    <t xml:space="preserve">1.3.4 </t>
  </si>
  <si>
    <t>1.3.4.1</t>
  </si>
  <si>
    <t>1.3.4.2</t>
  </si>
  <si>
    <t xml:space="preserve">1.3.5 </t>
  </si>
  <si>
    <t>1.3.5.1</t>
  </si>
  <si>
    <t>1.3.5.2</t>
  </si>
  <si>
    <t>1.3.5.3</t>
  </si>
  <si>
    <t xml:space="preserve">1.3.6 </t>
  </si>
  <si>
    <t>1.3.6.1</t>
  </si>
  <si>
    <t>1.3.6.2</t>
  </si>
  <si>
    <t>1.3.7</t>
  </si>
  <si>
    <t>1.3.7.1</t>
  </si>
  <si>
    <t>1.3.7.2</t>
  </si>
  <si>
    <t>1.3.4 Organet e qeverisjes së drejtësisë dhe të tjerët të përfshirë në vettingun e anëtarëve të Këshillave ose Inspektorit të Lartë të Drejtësisë, veçanërisht të anëtarëve jo magjistratë: të kryejnë kontrolle të figurës dhe të pasurisë/integritetit në përputhje me standardet e larta të vetting-ut</t>
  </si>
  <si>
    <t xml:space="preserve">Zhvillimi i standardeve për kontrollet e figurës dhe të aseteve/integritetit në përputhje me standardet e larta të verifikimit </t>
  </si>
  <si>
    <t xml:space="preserve">Zbatimi i standardeve për kontrollet e figurës dhe të aseteve/integritetit në përputhje me standardet e larta të verifikimit </t>
  </si>
  <si>
    <t>KLGJ,KLP</t>
  </si>
  <si>
    <r>
      <t xml:space="preserve">Analizë e brendshme institucionale mbi bazën ligjore të vendimeve (lloji, elementet e modeleve), duke përfshirë një studim mbi standardet e BE-së dhe </t>
    </r>
    <r>
      <rPr>
        <i/>
        <sz val="10"/>
        <color theme="1"/>
        <rFont val="Times New Roman"/>
        <family val="1"/>
      </rPr>
      <t>acquis</t>
    </r>
    <r>
      <rPr>
        <sz val="10"/>
        <color theme="1"/>
        <rFont val="Times New Roman"/>
        <family val="1"/>
      </rPr>
      <t xml:space="preserve"> të BE-së në lidhje me vendimet e Këshillit . </t>
    </r>
  </si>
  <si>
    <t>Analiza e nevojave për trajnim, duke sqaruar temat e trajnimeve dhe objektivin.</t>
  </si>
  <si>
    <t xml:space="preserve">Hartimi i një Programi Trajnimi të përvitshëm dhe hartimi i raportit mbi zbatimin.  </t>
  </si>
  <si>
    <t>1.3.5 Cilësia e vendimeve të KLGJ-së dhe KLP-së, duke përfshirë pajtueshmërinë me legjislacionin e brendshëm, acquis të BE-së dhe standardet evropiane, sigurohet nëpërmjet trajnimeve të organizuara.</t>
  </si>
  <si>
    <t xml:space="preserve"> 2024</t>
  </si>
  <si>
    <t xml:space="preserve"> 2030</t>
  </si>
  <si>
    <t>KLGJ-ja zbaton më tej një program transparence dhe komunikimi për të gjithë elementët e vendimmarrjes së tyre, duke përfshirë vendimet për karrierën, menaxhimin, rekrutimin e stafit, funksionimin e gjykatave dhe monitoron dhe raporton në mënyrë të vazhdueshme publikisht për zbatimin e tij.</t>
  </si>
  <si>
    <t xml:space="preserve">Hartimi i Strategjisë / Planit / Programit të Transparencës dhe Komunikimit në përputhje me kuadrin ligjor që siguron respektimin e bazës ligjore dhe vendos rregullat për komunikimin publik të gjykatave, përfshirë GJL-në dhe gjykatat e posacme.  </t>
  </si>
  <si>
    <t xml:space="preserve">Zbatimi i Strategjisë / Planit / Programit të Transparencës dhe Komunikimit në përputhje me kuadrin ligjor që siguron respektimin e bazës ligjore dhe vendos rregullat për komunikimin publik të gjykatave, përfshirë GJL-në dhe gjykatat e posacme. </t>
  </si>
  <si>
    <t>GJL, GJKKO</t>
  </si>
  <si>
    <t>1.3.7  Miratimi dhe zbatimi i një programi transparence dhe komunikimi nga KLP-ja për të gjithë elementët e vendimmarrjes së tyre, duke përfshirë vendimet për karrierën, menaxhimin, rekrutimin e stafit ne funksion te prokurorive si dhe monitorimi dhe raportimi i vazhdueshëm publikisht</t>
  </si>
  <si>
    <t xml:space="preserve">Hartimi i Strategjisë / Planit / Programit të Transparencës në përputhje me kuadrin ligjor që siguron respektimin e bazës ligjore përfshirë dhe Prokurorinë e Posacme. </t>
  </si>
  <si>
    <t xml:space="preserve">Zbatimi i Strategjisë / Planit / Programit të Transparencës në përputhje me kuadrin ligjor që siguron respektimin e bazës ligjore përfshirë dhe Prokurorinë e Posacme.  </t>
  </si>
  <si>
    <t>Kosto treguese Objektivi specifik 1.3</t>
  </si>
  <si>
    <t>1..4.1</t>
  </si>
  <si>
    <t>1.4.1.1</t>
  </si>
  <si>
    <t>1.4.1.2</t>
  </si>
  <si>
    <t>1.4.1.3</t>
  </si>
  <si>
    <t>1.4.1.4</t>
  </si>
  <si>
    <t>1.4.2</t>
  </si>
  <si>
    <t>1.4.2.1</t>
  </si>
  <si>
    <t>1.4.2.2</t>
  </si>
  <si>
    <t>1.4.3</t>
  </si>
  <si>
    <t>1.4.3.1</t>
  </si>
  <si>
    <t>1.4.3.2</t>
  </si>
  <si>
    <t>1.4.3.3</t>
  </si>
  <si>
    <t>1.4.3.4</t>
  </si>
  <si>
    <t xml:space="preserve">1.4.1   Kapaciteti i duhur i institucioneve të drejtësisë për të siguruar bashkëpunimin e duhur, si dhe mbledhjen e të dhënave, monitorimin dhe raportimin për avancimin e reformës në drejtësi . </t>
  </si>
  <si>
    <t xml:space="preserve">Hartimi i një analize të nevojave për trajnim (ANT) dhe Planit të Ngritjes së Kapaciteteve (PNK)  për rritjen e kapaciteteve të stafit të MD-së për mbledhjen, monitorimin dhe raportimin e të dhënave. </t>
  </si>
  <si>
    <t xml:space="preserve">Përditësimi i PNK-së </t>
  </si>
  <si>
    <t>Organizimi i rregullt i seminareve, tryezave të rrumbullakëta dhe diskutimeve të përbashkëta në lidhje me reformën në drejtësi.</t>
  </si>
  <si>
    <t xml:space="preserve">Sigurimi i aktiviteteve vijuese nga secili institucion me qëllim zbatimin e rekomandimeve dhe konkluzioneve të aktiviteteve të përbashkëta. </t>
  </si>
  <si>
    <t>MD, Institucionet zbatuese të strategjisë</t>
  </si>
  <si>
    <t>2030</t>
  </si>
  <si>
    <t>1.4.2 Bashkëpunimi i Këshillave u përmirësua duke intensifikuar mbledhjet e përbashkëta dhe sigurimin e komunikimit të drejtpërdrejtë me publikun për ndjekjen e konkluzioneve të mbledhjeve</t>
  </si>
  <si>
    <t xml:space="preserve">Hartimi dhe nënshkrimi i një Memorandumi Mirëkuptimi nga të dy Këshillat, i cili identifikon temat për diskutime dhe vendimet eventuale të përbashkëta që do të merren nga të dy Këshillat, ngritja e grupeve të përbashkëta të punës aty ku është e nevojshme dhe qartësimi i numrit të mbledhjeve vjetore të të dy Këshillave dhe objekteve të mbledhjeve. </t>
  </si>
  <si>
    <t xml:space="preserve">Zbatimi i Memorandumit të Mirëkuptimit nga Këshillat. </t>
  </si>
  <si>
    <t>KLGJ, KLP</t>
  </si>
  <si>
    <t>1.4.3 Planet e komunikimit dhe transparencës të përgatitura nga KLGJ-ja, KLP-ja, SPAK, GJKKO dhe MD-ja, për të zhvilluar më tej mirëkuptimin dhe rritjen e besimit të publikut tek reforma në drejtësi.</t>
  </si>
  <si>
    <t>Emerimi i nje koordinatori per marredheniet me publikun/median</t>
  </si>
  <si>
    <t>Aprovimi i  Planit Vjetor te Komunikimit</t>
  </si>
  <si>
    <t>Rritja e kapaciteteve per zbatimin e Planit Vjetor te Komunikimit</t>
  </si>
  <si>
    <t>Raportimi mbi implementimin e Planit Vjetor te Komunikimit</t>
  </si>
  <si>
    <t>SPAK, KLGJ, KLP, GJKKO</t>
  </si>
  <si>
    <t>Kosto treguese Objektivi specifik 1.4</t>
  </si>
  <si>
    <t>Kosto totale Qëllimi i Politikës I (objektiva specifike 1.1+1.2+1.3+1.4)</t>
  </si>
  <si>
    <t>Qëllimi i Politikës 2: Forcimi i pavarësisë, paanshmërisë dhe llogaridhënies në sistemin e drejtesisë</t>
  </si>
  <si>
    <r>
      <t>II. Programi buxhetor që kontribuon për qëllimin e politikës:</t>
    </r>
    <r>
      <rPr>
        <b/>
        <sz val="12"/>
        <color rgb="FF00B0F0"/>
        <rFont val="Times New Roman"/>
        <family val="1"/>
      </rPr>
      <t xml:space="preserve"> 01110 Planifikimi, Menaxhimi dhe Administrimi (14), 09820 Veprimtaria Arsimore, 01110 Planifikimi, Menaxhimi dhe Administrimi (29), 01110 Veprimtaria e KLP, 01110 Planifikimi, Menaxhimi dhe Administrimi AAPSK (16), 01110 Planifikimi, Menaxhimi dhe Administrimi (28), 01320 Veprimtaria Statistikore (50), 01110 Planifikimi, Menaxhimi dhe Administrimi (28), 03440 Sistemi i Burgjeve (14), 03140 Policia e Shtetit (16), 03390 Veprimtaria e SPAK</t>
    </r>
  </si>
  <si>
    <t xml:space="preserve">2.1.1 Këshillat rishikojnë rregullat e tyre të brendshme me qëllim emërimin dhe zhvillimin e karrierës së magjistratëve në sistemin e drejtësisë, bazuar në meritokraci. </t>
  </si>
  <si>
    <t>Objektivi Specifik 2.1 : Garantimi i emërimeve dhe zhvillimit të karrierës së magjistratëve në sistemin e drejtësisë, bazuar në meritokraci.</t>
  </si>
  <si>
    <t xml:space="preserve">Rishikimi dhe miratimi i ndryshimeve të Rregullores te ngritjes ne detyre te prokuroreve nga KLP-ja. </t>
  </si>
  <si>
    <t xml:space="preserve">Shqyrtimi, rishikimi dhe miratimi i draft Rregullores së Brendshme të KLGJ-së. </t>
  </si>
  <si>
    <t xml:space="preserve">Krijimi i mekanizmave të monitorimit dhe raportimit nga të dy Këshillat, me qëllim sigurimin në kohë dhe rigoroz të kontrollit të aseteve dhe figurës së magjistratëve përpara ngritjes në detyrë. </t>
  </si>
  <si>
    <t xml:space="preserve">Hartimi i planeve vjetore të vlerësimit nga të dy Këshillat që përmbajnë kalendar konkret dhe aktivitete që synojnë reduktimin e numrit të mbetur të vlerësimeve. </t>
  </si>
  <si>
    <r>
      <t xml:space="preserve">Zbatimi i planit të vlerësimit duke arritur të paktën 60% të parashikimeve vjetore të planifikimit deri në vitin 2025 dhe 100%  deri në vitin </t>
    </r>
    <r>
      <rPr>
        <b/>
        <sz val="10"/>
        <color theme="1"/>
        <rFont val="Times New Roman"/>
        <family val="1"/>
      </rPr>
      <t>2030</t>
    </r>
    <r>
      <rPr>
        <sz val="10"/>
        <color theme="1"/>
        <rFont val="Times New Roman"/>
        <family val="1"/>
      </rPr>
      <t xml:space="preserve">. </t>
    </r>
  </si>
  <si>
    <t xml:space="preserve"> KLP</t>
  </si>
  <si>
    <t>KLP, KLGJ</t>
  </si>
  <si>
    <t xml:space="preserve">
2025</t>
  </si>
  <si>
    <t xml:space="preserve">2.1.2  KLGJ-ja dhe KLP-ja sigurojnë më tej promovimin transparent të gjyqtarëve dhe prokurorëve duke publikuar rregullisht procedurat e ngritjes në detyrë </t>
  </si>
  <si>
    <t xml:space="preserve">Analiza e procedurave të ngritjes në detyrë të kryera nga Këshillat dhe identifikimi i pikave të dobëta të procedurave, duke përfshirë publikimin në kohë të thirrjeve për vende të lira pune, standarde të barabarta për vlerësimin e performancës së aplikantëve, etj.; hartimin e rekomandimeve për përmirësimin e procedurave. </t>
  </si>
  <si>
    <t xml:space="preserve">Rishikime  nënligjore të KLGJ-së/KLP-së duke siguruar planifikim transparent të procedurave të ngritjes në detyrë (dhe transferimeve paralele) që garanton procedura të besueshme dhe të parashikueshme të zhvillimit të karrierës. </t>
  </si>
  <si>
    <t xml:space="preserve">Ndryshimi dhe miratimi nënligjore të KLGJ-së/KLP-së duke siguruar planifikim transparent të procedurave të ngritjes në detyrë (dhe transferimeve paralele) që garanton procedura të besueshme dhe të parashikueshme të zhvillimit të karrierës. </t>
  </si>
  <si>
    <t xml:space="preserve"> 2024,2026,2028,2030</t>
  </si>
  <si>
    <t xml:space="preserve"> 2025</t>
  </si>
  <si>
    <t>2026</t>
  </si>
  <si>
    <t>2.2.1 Forcimi i integritetit dhe trajnimi i ofruar nga Shkolla e Magjistraturës dhe institucionet e qeverisjes.</t>
  </si>
  <si>
    <t>2..2.3.1</t>
  </si>
  <si>
    <t>2.2.2.4</t>
  </si>
  <si>
    <t xml:space="preserve">2.2.2 Këshillat reagojnë ndaj deklaratave publike ku ushtrohet ndikim i padrejtë mbi magjistratët dhe marrin masa parandaluese.  </t>
  </si>
  <si>
    <t xml:space="preserve">Mbledhja e të dhënave nga të dy Këshillat në lidhje me ndikimin e padrejtë të ushtruar mbi magjistratët duke filluar nga fillimi i vitit 2024 </t>
  </si>
  <si>
    <t xml:space="preserve">Mbledhja e të dhënave për deklaratat publike të KLGJ-së/KLP-së në rast se ushtrohet ndikim i padrejtë mbi magjistratët duke filluar nga fillimi i vitit 2024 </t>
  </si>
  <si>
    <t>Analizat e zbatimit të Kodit të Sjelljes nga gjyqtarët/prokurorët si dhe raportet e Këshilltarëve të Etikës, duke përfshirë rekomandimet për trajnimin me integritet të magjistratëve në SHM</t>
  </si>
  <si>
    <t>Hartimi i një moduli trajnimi për Integritetin nga SHM-ja dhe përfshirja e tij në programin fillestar dhe të vazhdueshëm të trajnimit.</t>
  </si>
  <si>
    <t xml:space="preserve">Trajnim per forcimin e integritetit, etiken dhe shtetin e se drejtes nga SHM-ja dhe përfshirja e tij në programin fillestar dhe të vazhdueshëm të trajnimit.                 </t>
  </si>
  <si>
    <t xml:space="preserve">Analizat e nevojave për trajnim dhe Plani i Ngritjes së Kapaciteteve (PNK)  në lidhje me integritetin e magjistratëve të hartuara dhe të miratuara nga Këshillat. </t>
  </si>
  <si>
    <t xml:space="preserve">Zbatimi i PNK-së nga KLGJ-ja/KLP-ja </t>
  </si>
  <si>
    <t>KLGJ, KLP, PP</t>
  </si>
  <si>
    <t>KLGJ, KLP, SHM</t>
  </si>
  <si>
    <t>KLGJ, KLP, PP, SHM</t>
  </si>
  <si>
    <t>2.2.3 Mbledhja e të dhënave, analiza dhe vlerësimi i çështjeve ku Këshillat do te reagojne përmes deklaratave publike ndaj presionit politik, intimidimit dhe akuzave ndaj magjistratëve</t>
  </si>
  <si>
    <t>Dhënia e deklaratave publike nga ana e Këshillave (KLGJ, KLP), në rastet kur ushtrohet ndikim i padrejtë ndaj magjistratëve nga çdo llojë presioni, ndërhyrje, pengimi, kufizimi në veprimtarinë e tyre, me qëllim mbrojtjen, garantimin e jetës, shëndetit dhe integritetit e magjistratëve</t>
  </si>
  <si>
    <t>Marrja e masave të menjëhershme ligjore, institucionale, organizative e material nga organet ligjzbatuese, për zbardhjen e çdo ngjarje dhe vënien përpara përgjegjësisë ligjore të personave të cilët kanë tentuar/kryer presion ndaj figurës së magjistratit, si dhe zbatimin e dispozitave ligjore, duke garantuar mbrojtje efektive për parandalimin e sjelljeve të kundërligjshme.</t>
  </si>
  <si>
    <t>2.3.2</t>
  </si>
  <si>
    <t>2.3.1.1</t>
  </si>
  <si>
    <r>
      <t>Krijimi i një mekanizmi Monitorimi nga KLGJ-ja dhe KLP-ja për të monitoruar hetimet penale dhe çështjet penale të korrupsionit aktiv dhe pasiv në gjyqësor.</t>
    </r>
    <r>
      <rPr>
        <b/>
        <sz val="10"/>
        <color theme="1"/>
        <rFont val="Times New Roman"/>
        <family val="1"/>
      </rPr>
      <t xml:space="preserve"> </t>
    </r>
    <r>
      <rPr>
        <sz val="10"/>
        <color theme="1"/>
        <rFont val="Times New Roman"/>
        <family val="1"/>
      </rPr>
      <t xml:space="preserve"> </t>
    </r>
  </si>
  <si>
    <r>
      <t>Zbatimi i Mekanizmit nëpërmjet informacioneve të rregullta mujore të dorëzuara tek anëtarët e Këshillave.</t>
    </r>
    <r>
      <rPr>
        <b/>
        <sz val="10"/>
        <color theme="1"/>
        <rFont val="Times New Roman"/>
        <family val="1"/>
      </rPr>
      <t xml:space="preserve"> </t>
    </r>
  </si>
  <si>
    <t xml:space="preserve">Zhvillimi dhe zbatimi i një politike për të dy Këshillat për të rritur transparencën dhe informimin publik kudo që çështjet penale të korrupsionit aktiv dhe pasiv janë me vonesë. </t>
  </si>
  <si>
    <t>2.3.1 Monitorimi i vazhdueshëm kryhet nga Këshillat lidhur me çështjet gjyqësore penale të korrupsionit aktiv dhe pasiv në gjyqësor.</t>
  </si>
  <si>
    <t xml:space="preserve">
2026</t>
  </si>
  <si>
    <t xml:space="preserve">
2030</t>
  </si>
  <si>
    <t>2.3.2 KLGJ-ja kryen një analizë për vendosjen e sistemit të paralajmërimit të hershëm të monitorimit të ndarjes së çështjeve nga gjykatat për të garantuar zbatimin konsistent të ndarjes së rastësishme të çështjeve dhe masat e duhura korrigjuese kur është e nevojshme.</t>
  </si>
  <si>
    <t>2.3.2.1</t>
  </si>
  <si>
    <t xml:space="preserve">KLGJ-ja kryen një analizë të sistemit ekzistues, duke përfshirë edhe unifikimin e procedurave ndërmjet gjykatave me qëllim krijimin e një mekanizmi paralajmërues të hershëm për ndarjen e rastësishme të çështjeve gjyqësore. </t>
  </si>
  <si>
    <t>Sistemi Gjyqësor</t>
  </si>
  <si>
    <t>2.3.3</t>
  </si>
  <si>
    <t>2.3.3.1</t>
  </si>
  <si>
    <t>2.3.3.2</t>
  </si>
  <si>
    <t>2.3.3.3</t>
  </si>
  <si>
    <t>2.3.3.4</t>
  </si>
  <si>
    <t>2.3.3.5</t>
  </si>
  <si>
    <t>2.3.3  KLGJ-ja  siguron se rregullat për ndarjen e rastësishme të çështjeve zbatohen në mënyrë efikase dhe të qëndrueshme në gjykata dhe prokurori bazuar në kritere transparente dhe të drejta.</t>
  </si>
  <si>
    <t xml:space="preserve">Shqyrtimi dhe vlerësimi nga KLGJ-ja  i rregullave për ndarjen rastësore të çështjeve në gjykata, duke përfshirë përjashtimet. </t>
  </si>
  <si>
    <t xml:space="preserve">Analiza e rregullave për ndarjen e rastësishme të çështjeve duke përfshirë përjashtimet </t>
  </si>
  <si>
    <t xml:space="preserve">Shqyrtimi dhe publikimi i rregullave për ndarjen rastësore të çështjeve, duke përfshirë përjashtimet, bazuar në analizat e KLGJ-së, me qëllim promovimin e qëndrueshmërisë, transparencës dhe parashikueshmërisë. </t>
  </si>
  <si>
    <t xml:space="preserve">Kryerja e kontrolle të rregullta për ndarjen e rastësishme të çështjeve. </t>
  </si>
  <si>
    <r>
      <t>Publikimi i rezultateve nga inspektimet, duke përfshirë rekomandimet për përmirësimin e sistemit për ndarjen e rastësishme të çështjeve.</t>
    </r>
    <r>
      <rPr>
        <b/>
        <sz val="12"/>
        <color theme="1"/>
        <rFont val="Times New Roman"/>
        <family val="1"/>
      </rPr>
      <t xml:space="preserve"> </t>
    </r>
  </si>
  <si>
    <r>
      <t>Zbatimi i gjetjeve të raporteve të inspektimit të ILD-së nga KLGJ-ja</t>
    </r>
    <r>
      <rPr>
        <b/>
        <sz val="12"/>
        <color theme="1"/>
        <rFont val="Times New Roman"/>
        <family val="1"/>
      </rPr>
      <t>/</t>
    </r>
    <r>
      <rPr>
        <sz val="12"/>
        <color theme="1"/>
        <rFont val="Times New Roman"/>
        <family val="1"/>
      </rPr>
      <t>gjykatat dhe PP-ja</t>
    </r>
    <r>
      <rPr>
        <b/>
        <sz val="12"/>
        <color theme="1"/>
        <rFont val="Times New Roman"/>
        <family val="1"/>
      </rPr>
      <t>/</t>
    </r>
    <r>
      <rPr>
        <sz val="12"/>
        <color theme="1"/>
        <rFont val="Times New Roman"/>
        <family val="1"/>
      </rPr>
      <t xml:space="preserve">prokurorite. </t>
    </r>
  </si>
  <si>
    <t>KLGJ, PP</t>
  </si>
  <si>
    <t>ILD</t>
  </si>
  <si>
    <t>2.3.3.6</t>
  </si>
  <si>
    <t>Objektivi specifik: 2.4.  Sigurimi që kontrollet e figurës dhe pasurisë në sistemin e drejtësisë kryhen në përputhje me standardet e vetting-ut.</t>
  </si>
  <si>
    <t>2.4.1. ILDKPKI-ja siguron përditësime të vazhdueshme dhe të qëndrueshme të deklaratave të pasurisë së anëtarëve të sistemit gjyqësor dhe të prokurorisë dhe heton dhe raporton çështjet, sipas rastit, në prokurori, bazuar në praktikën e vendosur nga standardet e larta të procesit të vetting-ut</t>
  </si>
  <si>
    <t>2.2.4.3</t>
  </si>
  <si>
    <t>Vijimi i monitorimit dhe garantimi i funksionimit të sistemit të deklarimit EACIDS.</t>
  </si>
  <si>
    <t>Ndjekja dhe zbatimi i rekomandimeve të Kuvendit për ILDKPKI</t>
  </si>
  <si>
    <t xml:space="preserve">Analiza e proceseve përkatëse të punës për të garantuar zbatimin e standardeve të larta të vetting-ut nga ILDKPKI-ja nëpërmjet ndryshimeve ligjore dhe zbatimit të tyre, masave organizative dhe administrative, ngritjes së kapaciteteve, etj. </t>
  </si>
  <si>
    <t>ILDKPKI</t>
  </si>
  <si>
    <t>2.4.2.5</t>
  </si>
  <si>
    <t>2.4.2  KLGJ-ja dhe KLP-ja sigurojnë ndjekjen sistematike të raporteve të deklarimit të pasurisë nga ILDKPKI-ja dhe hetime të mëtejshme në kontekstin e shqyrtimit të pasurisë dhe të figurës së tyre, duke përfshirë sigurimin e hetimeve efikase në vijim dhe referimin në prokurori.</t>
  </si>
  <si>
    <t xml:space="preserve">Vendosja e standardeve nga KLGJ-ja dhe KLP-ja për hetime të mëtejshme të raporteve të deklarimit të pasurisë dhe shqyrtimin e figurës për magjistratët, duke ndjekur standardet e larta të vettingut. </t>
  </si>
  <si>
    <t xml:space="preserve">Bazuar në standardet e vendosura, të krijohet një njësi e specializuar/staf i përkushtuar në administratën e Këshillave që merret me hetimin e mëtejshëm të deklarimit të pasurisë dhe analizimin e figurës së magjistratëve. </t>
  </si>
  <si>
    <t xml:space="preserve">
Percaktimi i kriterit te eksperiences ne procesin e vettingut (pjese e KPK,KPA) si kriter preferencial ne shpalljet e reja nga keshillat per vendet vakante</t>
  </si>
  <si>
    <t xml:space="preserve">Sigurimi i trajnimit të posaçëm të stafit të Këshillave që merren me hetimin e mëtejshëm të deklaratave të pasurisë dhe analizimin e figurës bazuar në standardet e larta të procesit të vetting-ut. </t>
  </si>
  <si>
    <t xml:space="preserve">Zbatimi i rekomandimit të analizës së brendshme lidhur me reduktimin e afatit kohor. </t>
  </si>
  <si>
    <t>KPK, KPA</t>
  </si>
  <si>
    <t xml:space="preserve">2024
</t>
  </si>
  <si>
    <t>2027</t>
  </si>
  <si>
    <t xml:space="preserve">2.4.3  Deklaratat e pasurisë së anëtarëve të institucioneve të pavarura të drejtësisë përditësohen dhe verifikohen në mënyrë periodike.	</t>
  </si>
  <si>
    <t xml:space="preserve">Përditësimi në formë elektronike dhe fizikisht i deklaratave të pasurive të anëtarëve të institucioneve të pavaruara të drejtësisë  </t>
  </si>
  <si>
    <t xml:space="preserve">Kryerja e analizës lidhur me  mekanizmat shtesë (nëse është e nevojshme) për anëtarët në bazë të ndryshimeve ligjore </t>
  </si>
  <si>
    <t xml:space="preserve">Rishikimi (nëse nevojitet) i rregullave/akteve nënligjore në lidhje me verifikimin dhe hetimin e deklaratave të pasurisë së anëtarëve të institucioneve të pavarura të drejtësisë në bazë të ndryshimeve ligjore </t>
  </si>
  <si>
    <t xml:space="preserve">Trajnim i specializuar për punonjësit e ILDKPKI-së që merren me këto deklarime, verifikime, hetime dhe hartime raportesh. </t>
  </si>
  <si>
    <t xml:space="preserve">MD, Anëtarët e institucioneve të pavaruara të drejtësisë </t>
  </si>
  <si>
    <t>KLGJ, KLP, ILD</t>
  </si>
  <si>
    <t xml:space="preserve">KLGJ, KLP, ILD, MD, Anëtarët e institucioneve të pavaruara të drejtësisë </t>
  </si>
  <si>
    <t>2.5.1</t>
  </si>
  <si>
    <t>Objektivi specifik 2.5: Përforcimi i mekanizmave të llogaridhënies së magjistratëve.</t>
  </si>
  <si>
    <t xml:space="preserve">2.5.1 Hartimi i rregullave për përbërjen dhe vjetërsinë e ILD-së, të cilat vendosin garanci të kënaqshme të paanshmërisë, pavarësisë dhe profesionalizmit për mbrojtjen e organit nga ndikimi i drejtpërdrejtë ose i tërthortë i legjislativit dhe ekzekutivit 	</t>
  </si>
  <si>
    <t>2.5.1.1</t>
  </si>
  <si>
    <t>2.5.1.2</t>
  </si>
  <si>
    <t>2.451.3</t>
  </si>
  <si>
    <t>Hartimi i analizës për rishikimin e kritereve, veçanërisht kriterin e vjetërsisë,   për pozicionin e inspektorëve magjistratë dhe propozime për ndryshime ligjore në bazë të gjetjeve të analizës.</t>
  </si>
  <si>
    <t>Hartimi i projekt-ndryshimeve ligjore bazuar në analizën e kryer</t>
  </si>
  <si>
    <t>Amendamentet e ligjit për organet e qeverisjes së sistemit të drejtësise Qeverisjes të miratuara nga Kuvendi</t>
  </si>
  <si>
    <t>KUVENDI, ILD</t>
  </si>
  <si>
    <t>MD, ILD</t>
  </si>
  <si>
    <t>KUVENDI, ILD, MD</t>
  </si>
  <si>
    <t>2.5.2</t>
  </si>
  <si>
    <r>
      <t xml:space="preserve">Tryeza e rrumbullakët e thirrur nga MD-ja me pjesëmarrjen e ILD-së, KLGJ-së dhe KLP-së për të diskutuar ndryshimet e mundshme në politikën dhe legjislacionin përkatës që mund të kontribuojnë në procesin e plotësimit të pozicioneve të inspektorëve bazuar në kritere të larta profesionale dhe integriteti. </t>
    </r>
    <r>
      <rPr>
        <b/>
        <sz val="10"/>
        <color theme="1"/>
        <rFont val="Times New Roman"/>
        <family val="1"/>
      </rPr>
      <t xml:space="preserve">
a) Identifikimin e arsyeve të mungesës së interesit të aplikimeve për inspektor në ILD, për procedurat e realizuara;
b) Adresimin e përbashkët me masa specifike nga organet e pavarura për zgjidhjen e problemtatikave të identifikuara;</t>
    </r>
  </si>
  <si>
    <t xml:space="preserve">
 Dakordësim i propozimeve për kriteret që duhet të përmbushin magjistratët për t'u komanduar në ILD.
</t>
  </si>
  <si>
    <t xml:space="preserve"> Shpalljen  e procedurave për komandim e magjistratëve deri në plotësimin e vendeve vakante për pozicionet e inspektorëve magjistratë. </t>
  </si>
  <si>
    <t xml:space="preserve">Caktimin e magjistratëve në pozicionet e apelit, pas përfundimit të afatit të komandimit për magjistratët e komanduar në ILD, pa iu nënshtruar procedurës së ngritjes në detyrë. </t>
  </si>
  <si>
    <t>Hartimi i kurrikulave për trajnim të vazhdueshëm dhe realizimi i tyre në bashkëpunim me SHM;</t>
  </si>
  <si>
    <t xml:space="preserve">Numri i trajnimeve të vazhdueshme të zhvilluara  dhe numri i inspektorëve dhe ndihmësinspektorëve të trajnuar për çdo vit akademik. </t>
  </si>
  <si>
    <t xml:space="preserve"> Numri i trajnimeve të zhvilluar nga ASPA për nëpunësit civilë.
</t>
  </si>
  <si>
    <t xml:space="preserve">2.5.2  Plotësimi gradual i vakancave në rradhët e inspektorëve në ILD, me masa që synojnë që ky pozicion të jetë tërheqës dhe stafi mbështetës i ILD-së është përforcuar dhe i përgjigjet nevojave objektive të institucionit.  </t>
  </si>
  <si>
    <t>ILD, KLGJ, KLP</t>
  </si>
  <si>
    <t>MD, ILD, KLGJ, KLP</t>
  </si>
  <si>
    <t>ILD, SHM</t>
  </si>
  <si>
    <t>ILD, ASPA</t>
  </si>
  <si>
    <t>2.5.2.1</t>
  </si>
  <si>
    <t>2.5.2.2</t>
  </si>
  <si>
    <t>2.5.2.3</t>
  </si>
  <si>
    <t>2.5.2.4</t>
  </si>
  <si>
    <t>2.5.2.5</t>
  </si>
  <si>
    <t>2.5.2.6</t>
  </si>
  <si>
    <t>2.5.2.7</t>
  </si>
  <si>
    <t>2.5.3</t>
  </si>
  <si>
    <t>2.5.3.1</t>
  </si>
  <si>
    <t>2.5.3.2</t>
  </si>
  <si>
    <t>2.5.3.3</t>
  </si>
  <si>
    <t>2.5.3 Burimet konsistente dhe të përshtatshme të akorduara nga KLP-ja dhe KLGJ-ja për kryerjen e  hetimit disiplinor të iniciuar nga ILD-ja në kohë dhe në mënyrë sistematike.</t>
  </si>
  <si>
    <t xml:space="preserve">ILD paraqet kërkesat për komandim dy herë në vit, derisa të plotësohen të gjitha pozicionet e inspektorëve magjistratë. </t>
  </si>
  <si>
    <t xml:space="preserve">Analiza e KLGJ-së dhe KLP-së për procedimet disiplinore ndaj magjistratëve për periudhën 2020 -2023,  duke përfshirë bazën ligjore,  BNJ, trajnimet, afatet kohore të procedurave, rezultatet e procedurave, ankimimet dhe rezultatet e ankimimit etj. </t>
  </si>
  <si>
    <t xml:space="preserve">Zbatimi i rekomandimeve të analizave të mësipërme për të siguruar burimet e duhura njerëzore dhe burime të tjera të nevojshme për KLGJ-në dhe KLP-në </t>
  </si>
  <si>
    <t>MD,  KLGJ, KLP</t>
  </si>
  <si>
    <t>2.5.4</t>
  </si>
  <si>
    <t>2.5.4.1</t>
  </si>
  <si>
    <t>2.5.4.2</t>
  </si>
  <si>
    <t>2.5.4.3</t>
  </si>
  <si>
    <t>2.5.4.4</t>
  </si>
  <si>
    <t>2.5.4.5</t>
  </si>
  <si>
    <t xml:space="preserve">2.5.4  Rregullat e zbatuara për monitorimin periodik të telekomunikacionit të personelit të Gjykatave Posaçme kundër Korrupsionit dhe Krimit të Organizuar duhet të përcaktohen për ta bërë sistemin funksional në përputhje me parimet e proporcionalitetit, qartësisë dhe parashikueshmërisë. Sistemi është zbatuar në përputhje me standardet evropiane.  </t>
  </si>
  <si>
    <t xml:space="preserve">Vlerësimi i gjendjes aktuale të zbatimit de facto të dispozitave ligjore që kanë të bëjnë me monitorimin periodik të telekomunikacionit të personelit të gjykatave të posaçme kundër korrupsionit dhe krimit të organizuar, prokurorisë së posaçme dhe BKH-së. </t>
  </si>
  <si>
    <t>Ndryshimi i ligjit (dhe implementimi i tij) ekzistues nr. 95/2016 në lidhje me objektin e ligjit (përgjim apo vezhgim)</t>
  </si>
  <si>
    <t>Hartimi i rregullave te brendshme qe detajojne procedurat specifike per monitorim duke perfshire pergjegjesite e personelit, menyrat e ruajtjes se te dhenave dhe masat disiplinore ne raste abuzimi.</t>
  </si>
  <si>
    <t>Kryerja e auditimeve periodike per te verifikuar zbatimin e procedurave te monitorimit</t>
  </si>
  <si>
    <t>Organizimi i trajnimeve rreth te drejtave te njeriut mbi politkat dhe procedurat e monitorimit per te siguruar nje kuptim te qarte dhe respektim te rregullave te percaktuara ne ligj dhe aktet e tjera nenligjore qe lidhen me monitorimin e telekomunikacionit per personelin e institucioneve</t>
  </si>
  <si>
    <t>Kuvendi, SPAK, BKH, Gjykatat e Posaçme</t>
  </si>
  <si>
    <t>BKH</t>
  </si>
  <si>
    <t>Kuvendi, SPAK, Gjykatat e Posaçme</t>
  </si>
  <si>
    <t>BKH, SPAK, GJKKO</t>
  </si>
  <si>
    <t>2.5.5</t>
  </si>
  <si>
    <t>Kosto Objektivi specifik 2.5</t>
  </si>
  <si>
    <t>2.5.5.1</t>
  </si>
  <si>
    <t>2.5.5.2</t>
  </si>
  <si>
    <t>2.5.5.3</t>
  </si>
  <si>
    <t>Monitorimi i zbatimit të dokumenteve strategjike për hetimin administrativ të sinjalizuesve.</t>
  </si>
  <si>
    <t xml:space="preserve">Raportimi i rregullt mbi zbatimin e dokumenteve strategjike duke përfshirë shqyrtimin e çështjeve të korrupsionit brenda KLGJ-së. </t>
  </si>
  <si>
    <t xml:space="preserve">Ndjekja e vendimeve të KLGJ-së në bazë të raporteve dhe zbatimi i tyre. </t>
  </si>
  <si>
    <t xml:space="preserve">2.5.5  Zbatimi dhe ndjekja e mëtejshme e dokumenteve strategjike të KLGJ-së për hetimin administrativ të sinjalizuesve dhe shqyrtimin e rasteve të korrupsionit brenda KLGJ-së. </t>
  </si>
  <si>
    <t>Kosto totale Qëllimi i Politikës II (objektiva specifike 2.1+2.2+2.3+2.4+2.5)</t>
  </si>
  <si>
    <t>Qëllimi i Politikës  3. Rritja e efikasitetit te institucioneve në sistemin e drejtësisë</t>
  </si>
  <si>
    <t>Objektivi Specifik 3.1: Përmirësimi i kapacitetit të KLGJ dhe gjykatave, përfshirë GJL, për zbatimin e masave që rrisin efikasitetin</t>
  </si>
  <si>
    <t>3.1.1 KLGJ-ja/këshillat e gjykatave harton/jne dhe miraton/jne një strategji efikasiteti/reduktimi të çështjeve të prapambetura/shpërndarje të barabartë të ngarkesës për gjykatat në të gjitha nivelet .</t>
  </si>
  <si>
    <t xml:space="preserve">Analiza e efikasitetit të procedurave qe ndermerren nga  GJKKO duke përfshirë kohëzgjatjen e procedurave, rialokimin e cështjeve gjyqesore etj. </t>
  </si>
  <si>
    <t xml:space="preserve">
Hartimi dhe implementimi i planit per zbatimin e masave te identifikuara nga analiza per rritjen e efikasitetit te  GJKKO  </t>
  </si>
  <si>
    <t xml:space="preserve">
Miratimi i strategjisë së efikasitetit/reduktimit të çështjeve të prapambetura për gjykatat  në të gjitha nivelet,  nga KLGJ-ja. </t>
  </si>
  <si>
    <t>Zbatimi i strategjisë së efikasitetit/reduktimit të çështjeve të prapambetura për gjykatat  në të gjitha nivelet.</t>
  </si>
  <si>
    <t xml:space="preserve">Planifikimi i burimeve njerëzore dhe buxhetit të nevojshëm për zbatimin e strategjisë së reduktimit të çështjeve të prapambetura çdo vit, duke përfshirë krijimin e një mekanizmi të brendshëm monitorues për zbatimin e planit. </t>
  </si>
  <si>
    <t xml:space="preserve">Zbatimi i Planit Vjetor për buxhetin dhe BNJ nga KLGJ-ja. </t>
  </si>
  <si>
    <t>Plotesimi i vakancave pranë GJKKO</t>
  </si>
  <si>
    <t xml:space="preserve">
Trajnimi i stafit sipas pozicionit te tyre te punes</t>
  </si>
  <si>
    <t>3.1.3.1</t>
  </si>
  <si>
    <t>3.1.3.2</t>
  </si>
  <si>
    <t>3.1.3.3</t>
  </si>
  <si>
    <t xml:space="preserve">3.1.3 KLGJ-ja përparon me emërimet e gjyqtarëve  në të gjitha nivelet </t>
  </si>
  <si>
    <t xml:space="preserve">Hartimi dhe miratimi i një plani për emërimet dhe caktimet në pozicione të magjistratëve të sapodiplomuar në SHM </t>
  </si>
  <si>
    <t xml:space="preserve">Krijimi i një mekanizmi efikas koordinimi me institucionet që ofrojnë informacionin e nevojshëm për kontrollin e pasurisë dhe të figurës së kandidatëve magjistratë. </t>
  </si>
  <si>
    <t>Zbatimi i planit të emërimeve dhe caktimeve në pozicione të magjistratëve të sapodiplomuar në SHM.</t>
  </si>
  <si>
    <t>3.1.4.4</t>
  </si>
  <si>
    <t>3.1.4 KLGJ zgjeron më tej procedurat e vlerësimit dhe avancimit ne karriere   të gjyqtarëve bazuar në kriteret cilësore dhe sasiore dhe rritjen e transparencës së procesit</t>
  </si>
  <si>
    <t xml:space="preserve">Hartimi i analizës nga KLGJ që synon vlerësimin e brendshëm të proceseve të vlerësimit të performancës dhe avancimit ne karriere të gjyqtarëve dhe transparencën e tyre, duke përfshirë rekomandimet për përmirësimin e procedurave dhe përmirësimin e transparencës </t>
  </si>
  <si>
    <t>Zbatimi i rekomandimeve të dala nga analiza</t>
  </si>
  <si>
    <t xml:space="preserve">Vlerësimi i efikasitetit të zbatimit të rekomandimeve dhe ndikimi i tyre në cilësinë, kohëzgjatjen dhe transparencën e procedurave. </t>
  </si>
  <si>
    <t>Publikimi i rregullt dhe ne kohe i vendimeve te Keshillit mbi procedurat e vleresimit te performances dhe avancimit ne karriere te gjyqtareve</t>
  </si>
  <si>
    <t>3.1.5.7</t>
  </si>
  <si>
    <t>3.1.5.8</t>
  </si>
  <si>
    <t>3.1.5.9</t>
  </si>
  <si>
    <t>3.1.5.10</t>
  </si>
  <si>
    <t>3.1.5.11</t>
  </si>
  <si>
    <t>3.1.5.12</t>
  </si>
  <si>
    <t>3.1.5 Sigurohet zbatimi në kohë dhe efikas i vendimeve gjyqësore të formës së prerë.</t>
  </si>
  <si>
    <t xml:space="preserve"> Miratimi paketes se akteve nenligjore ne zbatim te ligjit organik </t>
  </si>
  <si>
    <t xml:space="preserve">
Kryerja e nje analize mbi identifikimin e nevojave per permbarues gjyqesore shteterore dhe plotesimin e vendeve vakante. 
</t>
  </si>
  <si>
    <t xml:space="preserve">
Plotesimi i vakancave ne referim te gjetjeve te analizes. </t>
  </si>
  <si>
    <t xml:space="preserve">Vlerësimi periodik i nevojave për trajnim vazhdues                                                    dhe trajnim i specializuar sipas fushave   </t>
  </si>
  <si>
    <t xml:space="preserve">Trajnimi  vazhdues i punonjësve të shërbimit përmbarimor gjyqësor  lidhur me procedurat e ekzekutimit                                </t>
  </si>
  <si>
    <t xml:space="preserve"> Rishikimi dhe përditësimi i programeve të trajnimit të punonjësve të shërbimit të përmbarimit gjyqësor per procedurat e ekzekutimit</t>
  </si>
  <si>
    <t xml:space="preserve">Hartimi i nje marreveshjeje mes DPB dhe PP ne lidhje me aksesin ne Rregjistrin e Gjendjes Gjyqesore te DPB </t>
  </si>
  <si>
    <t xml:space="preserve">Hartimi i analizave, duke përfshirë një plan (nga secili institucion), për ekzekutimin në kohë dhe në mënyrë efikase të vendimeve gjyqësore, identifikimin e arsyeve të vonesave dhe sugjerimin e masave korrigjuese </t>
  </si>
  <si>
    <t xml:space="preserve">Organizimi i trajnimeve me qellim ngritjen e nje mekanizmi efikas për vlerësimin e pranueshmërisë dhe arsyetimin e ankesave per te shmangur praktiken e ankimit automatik ne Avokaturen e Shtetit.  </t>
  </si>
  <si>
    <r>
      <t xml:space="preserve">Zbatimi i masave të parashikuara në analiza dhe në plan veprimi </t>
    </r>
    <r>
      <rPr>
        <b/>
        <sz val="12"/>
        <color theme="1"/>
        <rFont val="Times New Roman"/>
        <family val="1"/>
      </rPr>
      <t xml:space="preserve"> </t>
    </r>
    <r>
      <rPr>
        <sz val="12"/>
        <color theme="1"/>
        <rFont val="Times New Roman"/>
        <family val="1"/>
      </rPr>
      <t>për ekzekutimin në kohë dhe në mënyrë efikase të vendimeve gjyqësore.</t>
    </r>
  </si>
  <si>
    <r>
      <t xml:space="preserve">Përmirësimi i bashkëpunimit dhe koordinimit me institucione te tjera të cilat kanë funksione lidhur me ekzekutimin e vendimeve gjyqësore nëpërmjet organizimit të takimeve të përbashkëta, seminareve, diskutimeve, masave të përbashkëta etj. </t>
    </r>
    <r>
      <rPr>
        <b/>
        <sz val="12"/>
        <color theme="1"/>
        <rFont val="Times New Roman"/>
        <family val="1"/>
      </rPr>
      <t xml:space="preserve"> </t>
    </r>
  </si>
  <si>
    <t>DPP, MD</t>
  </si>
  <si>
    <t>MD/DPB, PP</t>
  </si>
  <si>
    <t>KLGJ,PP, MD/ DPB, DSHP, DSHPSH, ASH</t>
  </si>
  <si>
    <t>KLGJ, PP, MD/ DPB, DSHP, DSHPSH, ASH</t>
  </si>
  <si>
    <t>ASH</t>
  </si>
  <si>
    <t>KLGJ, PP, MD/ DPB, DSHP, DSHPSH</t>
  </si>
  <si>
    <t>KLGJ,MD, DPB, DSHP, DSHPSH, ASH</t>
  </si>
  <si>
    <t xml:space="preserve">3.1.6  Zbatimi i qëndrueshëm dhe ne kohe i vendimeve të GJEDNJ-së, përfshire vendimet ne fushën e pronësisë. </t>
  </si>
  <si>
    <t xml:space="preserve">Krijimin e një mekanizmi të posaçëm për monitorimin dhe sigurimin e zbatimit të plotë dhe të shpejtë të vendimeve të GjEDNJ. </t>
  </si>
  <si>
    <t>Propozimi dhe zbatimi i një mekanizmi për ekzekutimin e vendimeve të GJEDNJ</t>
  </si>
  <si>
    <t>Sigurimi i aksesit online në të gjitha vendimet që lidhen me Shqipërinë në faqen e internetit të Avokaturës së Shtetit, duke mundësuar aksesin nëpërmjet elementeve që përmirësojnë kërkueshmërinë e vendimeve online (fjalët kyçe/ndarja sipas lëndës, etj)</t>
  </si>
  <si>
    <t>Koordinimi me institucionet e tjera për të adresuar kërkesat e specifikuara në vendimet e GJEDNJ.</t>
  </si>
  <si>
    <t>3.1.7 KLGJ-ja siguron mbledhjen dhe raportimin e të dhënave përkatëse për krimet e urrejtjes duke reflektuar rekomandimet e ODIHR</t>
  </si>
  <si>
    <t>Mbledhje te dhenash statistikore te rasteve te krimeve te urrejtjes sipas kategorive te percaktuara ne raportet ODIHR: nr. i vendimeve gjyqesore mbi krimet e urrejtjes ku gjykata ka vendosur denimin e te akuzuarit.</t>
  </si>
  <si>
    <t>Objektivi specifik 3.2 Përmirësimi i kapacitetit të PP, KLP dhe zyrave të prokurorisë, për zbatimin e masave që rrisin efikasitetin.</t>
  </si>
  <si>
    <t>3.2.1  KLP dhe PP hartojnë dhe miratojnë një strategji efikasiteti, shpërndarje të barabartë të ngarkesës për prokuroritë në të gjitha nivelet</t>
  </si>
  <si>
    <t>Ndjekja në vijimësi e plotësimit të vakancave të prokurorëve nga KLP, si dhe të opgj nga ana e Prokurorit të Përgjithshëm</t>
  </si>
  <si>
    <t>Raportim periodik mbi ndryshimet organike në prokurori lidhur me rishpërndarjen e numrit organik  të prokurorëve apo opgj-ve, por edhe stafit mbështetës në varësi të nevojave të prokurorive.</t>
  </si>
  <si>
    <t xml:space="preserve">Monitorim periodik nga ana e Drejtorisë së IT në PP, për mirëfunksionimin teknik  të sistemit CAMS i cili kryen ndarjen rastësore të çështjeve.
</t>
  </si>
  <si>
    <t>KLP, PP</t>
  </si>
  <si>
    <t>Prokuroritë</t>
  </si>
  <si>
    <t>Zbatimi i Planit Vjetor për buxhetin dhe BNJ.</t>
  </si>
  <si>
    <t xml:space="preserve"> PP</t>
  </si>
  <si>
    <t>3.2.3 	KLP-ja përparon me emërimet e prokurorëve  në të gjitha nivelet.</t>
  </si>
  <si>
    <t>Hartimi dhe miratimi i një plani për emërimet dhe caktimet në pozicione të magjistratëve të sapodiplomuar në SHM.</t>
  </si>
  <si>
    <r>
      <t>Planifikimi i burimeve njerëzore dhe buxhetit të nevojshëm për zbatimin e strategjisë së efikasitetit</t>
    </r>
    <r>
      <rPr>
        <strike/>
        <sz val="12"/>
        <color theme="1"/>
        <rFont val="Times New Roman"/>
        <family val="1"/>
      </rPr>
      <t xml:space="preserve"> </t>
    </r>
    <r>
      <rPr>
        <sz val="12"/>
        <color theme="1"/>
        <rFont val="Times New Roman"/>
        <family val="1"/>
      </rPr>
      <t xml:space="preserve">çdo vit, duke përfshirë krijimin e një mekanizmi të brendshëm monitorues për zbatimin e planit. </t>
    </r>
  </si>
  <si>
    <t xml:space="preserve">3.2.4 KLP zgjeron më tej procedurat e vlerësimit dhe avancimit ne karriere të prokuroreve bazuar në kriteret cilësore dhe sasiore dhe rritjen e transparencës së procesit. </t>
  </si>
  <si>
    <t xml:space="preserve">Hartimi i analizës nga KLP që synon vlerësimin e brendshëm të proceseve të vlerësimit të performancës dhe avancimit ne karriere të prokuroreve  dhe transparencën e tyre, duke përfshirë rekomandimet për përmirësimin e procedurave dhe përmirësimin e transparencës </t>
  </si>
  <si>
    <t>Publikimi i rregullt dhe ne kohe i vendimeve te Keshillit mbi procedurat e vleresimit te performances dhe avancimit ne karriere te prokuroreve</t>
  </si>
  <si>
    <t>3.2.5 Sigurohet zbatimi në kohë dhe efikas i vendimeve gjyqësore të formës së prerë.</t>
  </si>
  <si>
    <t>3.2.5.4</t>
  </si>
  <si>
    <t>3.2.5.5</t>
  </si>
  <si>
    <t>3.2.5.6</t>
  </si>
  <si>
    <t xml:space="preserve">Monitorim për zbatimin e Udhëzimit të Prokurorit të Përgjithshëm 
për ekzekutimin e vendimeve të formës së prerë; </t>
  </si>
  <si>
    <t xml:space="preserve">Raportim periodik lidhur me numrin dhe ekzekutimin e  vendimeve penale të formës së prerë; </t>
  </si>
  <si>
    <t xml:space="preserve">Kryerja e analizave vjetore mbi gjendjen e kriminalitetit në vend përfshirë zbatimin e vendimeve penale të formës së prerë; </t>
  </si>
  <si>
    <t>Zbatimi i masave të parashikuara në analiza dhe plane  për ekzekutimin në kohë dhe në mënyrë efikase të vendimeve gjyqësore.</t>
  </si>
  <si>
    <r>
      <t xml:space="preserve">Përmirësimi i bashkëpunimit dhe koordinimit me institucionet e tjera të cilat kanë funksione lidhur me ekzekutimin e vendimeve gjyqësore nëpërmjet organizimit të takimeve të përbashkëta, seminareve, diskutimeve, masave të përbashkëta etj. </t>
    </r>
    <r>
      <rPr>
        <b/>
        <sz val="12"/>
        <color theme="1"/>
        <rFont val="Times New Roman"/>
        <family val="1"/>
      </rPr>
      <t xml:space="preserve"> </t>
    </r>
  </si>
  <si>
    <t>MD, DPB, DSHP, DSHPSH</t>
  </si>
  <si>
    <t>PP, MD, DPB, DSHP, DSHPSH</t>
  </si>
  <si>
    <t>3.2.7</t>
  </si>
  <si>
    <t xml:space="preserve">3.2.6 Drejtoria e Përgjithshme e Policisë dhe PP sigurojnë mbledhjen dhe raportimin e të dhënave përkatëse për krimet e lidhura me gjakmarrjen dhe krimet e urrejtjes bazuar në Udhëzimet e PP-së të vitit 2019 duke reflektuar rekomandimet e ODIHR. </t>
  </si>
  <si>
    <t xml:space="preserve"> Mbledhje te dhenash statistikore te grupveprave penale lidhur me krimet e urrejtjes sipas KP ne perputhje me kriteret e meposhtme te percaktuara  ne raportet ODIHR: 
&gt;nr i rasteve te kallzuara dhe raportuara;
&gt; nr i hetimeve te filluara; 
&gt;nr./% i/e ceshtjeve te percjella ne gjykate; 
</t>
  </si>
  <si>
    <t>Trajnimi i OPGJ dhe prokuroreve ne bashkepunim me SHM mbi administrimin e ceshtjeve lidhur me krimet e lidhura me gjakmarrjen dhe krimet e urrejtjes (nr i trajnimeve/tematiket dhe nr i pjesesemarresve</t>
  </si>
  <si>
    <t xml:space="preserve">Mbledhje te dhenash statistikore dhe raportim periodik  mbi krimet e lidhura me gjakmarrjen:
&gt;nr i rasteve te kallzuara dhe raportuara;
&gt; nr i hetimeve te filluara; 
&gt;nr./% i/e ceshtjeve te percjella ne gjykate. </t>
  </si>
  <si>
    <t>PP, SHM</t>
  </si>
  <si>
    <t>3.2.7.1</t>
  </si>
  <si>
    <t>3.2.7.2</t>
  </si>
  <si>
    <t>3.2.7.3</t>
  </si>
  <si>
    <t>3.2.7 Policia e Shtetit dhe prokuroria e pergjithshme sigurojne informimin dhe ndërgjegjësimin e publikut mbi rastet e sulmeve ndaj gazetareve.</t>
  </si>
  <si>
    <t xml:space="preserve">Caktimi një pike qendrore brenda strukturës së PP, përgjegjëse për trajtimin e rasteve te sulmeve ndaj gazetarëve </t>
  </si>
  <si>
    <t>Mbledhja e te dhenave periodike</t>
  </si>
  <si>
    <t xml:space="preserve">Raportim periodik lidhur me hetimet e çështjeve që përfshijnë gazetarët </t>
  </si>
  <si>
    <t>Objektivi specifik 3.3 Përmirësimi i kapacitetit të Prokurorisë Speciale Antikorrupsion dhe Byros Kombëtare të Hetimit me qëllim sigurimin e hetimeve dhe procedimeve penale efikase në përputhje me standardet më të mira ndërkombëtare.</t>
  </si>
  <si>
    <t>3.3.1 SPAK harton dhe miraton një strategji efikasiteti për shpërndarje të barabartë të ngarkesës për prokurorët dhe OPGJ.</t>
  </si>
  <si>
    <t xml:space="preserve">Analiza e efikasitetit të procedurave qe ndermerren nga Prokuroria e Posacme duke përfshirë kohëzgjatjen e procedurave, rialokimin e cështjeve gjyqesore etj. </t>
  </si>
  <si>
    <t xml:space="preserve">Hartimi dhe implementimi i planit per zbatimin e masave te identifikuara nga analiza per rritjen e efikasitetit te Prokurorise se Posacme  </t>
  </si>
  <si>
    <t xml:space="preserve">Pergatitja dhe miratimi i nje plani pune per uljen e backlogut me bashkepunimin e nje eksperti(ekspertizen) nderkombetar nga Prokuroria e Posacme </t>
  </si>
  <si>
    <t>Zbatimi i Planit per uljen e backlogut nga Prokuroria e Posacme</t>
  </si>
  <si>
    <t>Monitorimi i rregullt i zbatimit të planit për uljen e backlogut nga Prokuroria e Posacme</t>
  </si>
  <si>
    <t>3.3.2.3</t>
  </si>
  <si>
    <t>3.3.2.4</t>
  </si>
  <si>
    <t>3.3.2.5</t>
  </si>
  <si>
    <t>3.3.2.6</t>
  </si>
  <si>
    <t>3.3.2.7</t>
  </si>
  <si>
    <t>3.3.2.8</t>
  </si>
  <si>
    <t>3.3.2.9</t>
  </si>
  <si>
    <t>3.3.2.10</t>
  </si>
  <si>
    <t>3.3.2.11</t>
  </si>
  <si>
    <t xml:space="preserve">Planifikimi i burimeve njerëzore dhe buxhetit të nevojshëm për zbatimin e strategjisë së efikasitetit çdo vit, duke përfshirë krijimin e një mekanizmi të brendshëm monitorues për zbatimin e planit. </t>
  </si>
  <si>
    <t xml:space="preserve">Plotesimi i vakancave pranë SPAK </t>
  </si>
  <si>
    <t>Trajnimi i stafit te SPAK ne bashkepunim me SHM  sipas pozicionit te tyre te punes perfshire edhe fushen e hetimeve financiare</t>
  </si>
  <si>
    <t>Rritja e bashkëpunimit me ekspertë ndërkombëtarë për të ndarë eksperienca në çështje të ngjashme.</t>
  </si>
  <si>
    <t>Paisja me programe kompjuterike të specializuara për hetimin financiar dhe ngritja e kapaciteteve njerëzore në përdorimin e tyre.</t>
  </si>
  <si>
    <t xml:space="preserve"> Hartimi i një analize mbi nevojat e burimeve njerezore prane BKH </t>
  </si>
  <si>
    <t>Hartimi dhe miratimi i urdhrit te perbashket te dy drejtuesve (BKH dhe PP) per riorganizimin e struktures se BKH.</t>
  </si>
  <si>
    <t>Ndjekja e procesit te rekrutimit (shpallja e thirrjeve, caktimi i komisioneve, intervistat dhe fazat e testimit etj.), ne perputhje me rregullat dhe procedurat e parashikuara me ligjin 95/2016 dhe akte nënligjore (perfshire procesin e vetting-ut te kandidateve)</t>
  </si>
  <si>
    <t xml:space="preserve">Hartimi i një analize të nevojave për trajnim (ANT) çdo vit, të ndarë sipas nevojave të grupeve përkatëse në  BKH. </t>
  </si>
  <si>
    <t>Zbatimi i rekomandimeve te nxjerra nga analiza e nevojave per trajnim ne nje Plan Rritje Kapacitetesh ne bashkepunim me SHM</t>
  </si>
  <si>
    <t>SPAK, SHM</t>
  </si>
  <si>
    <t>SPAK, BKH</t>
  </si>
  <si>
    <t>BKH, PP</t>
  </si>
  <si>
    <t>SPAK, BKH, PP</t>
  </si>
  <si>
    <t>3.3.4</t>
  </si>
  <si>
    <t>3.3.3.6</t>
  </si>
  <si>
    <t>3.3.3.7</t>
  </si>
  <si>
    <t>3.3.3.8</t>
  </si>
  <si>
    <t>3.3.3 Përmirësimi i funksionimit te SPAK dhe specializimi i brendshëm institucional për të kryer hetime proaktive (perfshire hetime financiare) gjate ndjekjes penale te korrupsionit.</t>
  </si>
  <si>
    <t xml:space="preserve">Hartimi i një udhëzimi të përgjithshem për hetimin financiar </t>
  </si>
  <si>
    <t>Implementimi i udhëzimeve për hetimin financiar</t>
  </si>
  <si>
    <t xml:space="preserve">Krijimi i partneritetit  me institucione financiare private për të përdorur burimet e tyre për hetimin në kohë të indiceve të pastrimit të parave </t>
  </si>
  <si>
    <t xml:space="preserve">Ndërtimi i marrëdhënieve të ngushta me institucione financiare ndërkombëtare (perfshire bashkepunimin me FIU) për shkëmbim të të dhënave dhe informacioneve financiare </t>
  </si>
  <si>
    <t xml:space="preserve"> Monitorimi i udhëzimit për hetimin financiar dhe nxjerrja e rekomandimeve për përmirësim në varësi të nevojës</t>
  </si>
  <si>
    <t>Bashkepunimi i ngushte me institucionet bashkepergjegjese per rritjen e efektivitetit ne konfiskimin e te ardhurave qe rrjedhin nga veprat penale te korrupsionit</t>
  </si>
  <si>
    <t>Raportim i rregullt dhe berja e tyre transparente lidhur me pasurite e sekuestruara per veprat penale qe rrjedhin nga korrupsioni</t>
  </si>
  <si>
    <t>2027, 2029</t>
  </si>
  <si>
    <t>3.3.4 Sigurohet zbatimi në kohë dhe efikas i vendimeve gjyqësore të formës së prerë</t>
  </si>
  <si>
    <t>Hartimi i analizave duke perfshire nje plan (nga secili institucion), per ekzekutimin ne kohe dhe menyre efikase te vendimeve gjyqesore, identifikimin e arsyeve te vonesave dhe sugjerimin e masave korrigjuese.</t>
  </si>
  <si>
    <t>Hartimi i analizes mbi nevojen e ndryshimeve ligjore lidhur me dispozitat e ekzekutimit te vendimeve te gjykatave speciale.</t>
  </si>
  <si>
    <r>
      <t>Zbatimi i masave të përbashkëta të parashikuara në analiza lidhur me</t>
    </r>
    <r>
      <rPr>
        <b/>
        <sz val="12"/>
        <color theme="1"/>
        <rFont val="Times New Roman"/>
        <family val="1"/>
      </rPr>
      <t xml:space="preserve"> </t>
    </r>
    <r>
      <rPr>
        <sz val="12"/>
        <color theme="1"/>
        <rFont val="Times New Roman"/>
        <family val="1"/>
      </rPr>
      <t>dispozitat e ekzekutimit te vendimeve te gjykatave speciale.</t>
    </r>
  </si>
  <si>
    <t>SPAK, MD, DPB, DSHP, DSHPSH, KLGJ, GJKKO</t>
  </si>
  <si>
    <t>3.4.1</t>
  </si>
  <si>
    <t>3.4.1.1</t>
  </si>
  <si>
    <t>3.4.1.2</t>
  </si>
  <si>
    <t>3.4.1.3</t>
  </si>
  <si>
    <t>3.4.1.4</t>
  </si>
  <si>
    <t>3.4.1.5</t>
  </si>
  <si>
    <t>3.4.1.6</t>
  </si>
  <si>
    <t>3.4.1.7</t>
  </si>
  <si>
    <t>3.4.1.8</t>
  </si>
  <si>
    <t>3.4.1.9</t>
  </si>
  <si>
    <t>3.4.1.10</t>
  </si>
  <si>
    <t>3.4.1 Dhoma e Ndërmjetësve vazhdon të forcojë sistemin e ndërmjetësimit duke:  ofruar trajnime fillestare dhe të vazhduara për kandidatët ndërmjetës dhe ndërmjetësit e akredituar; kryer fushata ndërgjegjësuese për ndërmjetësimin dhe rritur numrin e ndërmjetësve</t>
  </si>
  <si>
    <t xml:space="preserve">Hartimi dhe miratimi i Analizës së Nevojave për Trajnim (ANT) dhe Planit të Ngritjes së Kapaciteteve (PNK)  për trajnimin fillestar dhe të vazhduar të ndërmjetësuesve (Raportim periodik me baze vjetore)
</t>
  </si>
  <si>
    <t xml:space="preserve">Zbatimi i PNK-së  nëpërmjet organizimit dhe ofrimit të trajnimeve dhe aktiviteteve të tjera për ngritjen e kapaciteteve të përfshira në trajnimin fillestar dhe të vazhduar të ndërmjetësve (Raportim periodik me baze vjetore)
</t>
  </si>
  <si>
    <t>Ngritja e Grupit të Punës për  hartimin e rregullave të zbatueshme në zbatim të marrëveshjes së nënshkruar ndërmjet Këshillit të Ministrave të RSH dhe Qeverisë së RKS “Për njohjen e të drejtës së ushtrimit të profesioneve të avokatit dhe ndërmjetësit në zgjidhjen e mosmarrëveshjeve”, e ratifikuar nga të dy palët.</t>
  </si>
  <si>
    <t>Miratimi i Rregullores në zbatim të marrëveshjes së nënshkruar ndërmjet Këshillit të Ministrave të RSH dhe Qeverisë së RKS “Për njohjen e të drejtës së ushtrimit të profesioneve të avokatit dhe ndërmjetësit në zgjidhjen e mosmarrëveshjeve”, e ratifikuar nga të dy palët.</t>
  </si>
  <si>
    <t xml:space="preserve">Zhvillimi i trajnimeve te perbashketa  per ndermjetesit shqiptare dhe kosovare ne zbatim  të marrëveshjes së nënshkruar ndërmjet Këshillit të Ministrave të RSH dhe Qeverisë së RKS “Për njohjen e të drejtës së ushtrimit të profesioneve të avokatit dhe ndërmjetësit në zgjidhjen e mosmarrëveshjeve”, e ratifikuar nga të dy palët.rregullores mbi unifikimin e licensimit. </t>
  </si>
  <si>
    <t xml:space="preserve">Zhvillimi i te pakten 4  takimeve, konferencave, tryezave te perbashketa me aktoret e sistemit te drejtesise qe perfshihen  ne zgjidhjet e konflikteve (duke perfshire bashkite, NJMF (njesia e mbrojtjes se femijeve), policia, gjykata, prokurorine dhe me grupet e interesit).  
</t>
  </si>
  <si>
    <t xml:space="preserve">Fushata periodike ndërgjegjësuese mbi ndërmjetësimin si një mjet alternativ për zgjidhjen e mosmarrëveshjeve për të promovuar profesionin dhe për të rritur shkallën e referimit të çështjeve (fletepalosje/broshura informuese etj). </t>
  </si>
  <si>
    <t xml:space="preserve">Analiza mbi nevojen e kandidateve per ndermjetes sipas ndryshimeve te hartes gjyqesore </t>
  </si>
  <si>
    <t xml:space="preserve">Zbatimi i rekomandimeve/gjetjeve te analizes mbi nevojen e rritjen e numrit te ndermjetesve. </t>
  </si>
  <si>
    <t>Zhvillimi aktiviteteve ne  zbatim të marrëveshjes së nënshkruar ndërmjet Këshillit të Ministrave të RSH dhe Qeverisë së RKS “Për njohjen e të drejtës së ushtrimit të profesioneve të avokatit dhe ndërmjetësit në zgjidhjen e mosmarrëveshjeve”, e ratifikuar nga të dy palët.</t>
  </si>
  <si>
    <t>DHKND</t>
  </si>
  <si>
    <t>MD, DHKND</t>
  </si>
  <si>
    <t>Objektivi specifik 3.4 Përkrahja/promovimi dhe rritja e përdorimit të mekanizmave të zgjidhjes alternative të mosmarrëveshjeve.</t>
  </si>
  <si>
    <t>3.4.2</t>
  </si>
  <si>
    <t>3.4.2.1</t>
  </si>
  <si>
    <t>3.4.2.2</t>
  </si>
  <si>
    <t>3.4.2.3</t>
  </si>
  <si>
    <t>3.4.2.4</t>
  </si>
  <si>
    <t>3.4.2.5</t>
  </si>
  <si>
    <t>3.4.2 Forcimi i transparencës së procedurave të licencimit me synim rritjen e numrit të ndërmjetësuesve</t>
  </si>
  <si>
    <t>Përgatitja e analizës mbi gjetjet konkrete dhe propozimet për ndryshime në provimin pranues, duke parashikuar një legjislacioni të qartë dhe të përmbledhur që përcakton qartë kriteret dhe procedurat për licencim;</t>
  </si>
  <si>
    <t>Zhvillimi i një platforme online ku aplikantët mund të dorëzojnë aplikimet e tyre, të ndjekin statusin e tyre dhe të marrin informacione të përditësuara;</t>
  </si>
  <si>
    <t>Publikimi i udhëzuesve të qarta dhe detajuara për procesin e licencimit dhe kërkesat për licencë në faqet zyrtare të internetit;</t>
  </si>
  <si>
    <t>Krijimi i një databaze të hapur ku mund të shihen të gjitha licencat e lëshuara dhe aplikimet në proces;</t>
  </si>
  <si>
    <t>Vendosja e mekanizmave të monitorimit për të siguruar që procedurat ndiqen në mënyrë të drejtë dhe të paanshme dhe për të pranuar dhe trajtuar ankesat dhe sugjerimet nga aplikantët dhe palët e tjera të interesuara.</t>
  </si>
  <si>
    <t>DHKND/ MD</t>
  </si>
  <si>
    <t>3.4.3</t>
  </si>
  <si>
    <t>3.4.3.1</t>
  </si>
  <si>
    <t>3.4.4</t>
  </si>
  <si>
    <t>3.4.4.1</t>
  </si>
  <si>
    <t>3.4.4.2</t>
  </si>
  <si>
    <t>3.4.4.3</t>
  </si>
  <si>
    <t>3.4.3 Detyrimi ligjor i gjykatave për të informuar siç duhet palët për mundësinë e përdorimit të ndërmjetësimit vlerësohet nga KLGJ-ja në vlerësimin e performancës.</t>
  </si>
  <si>
    <t>Rishikimi i akteve nënligjore të KLGJ-së lidhur me vlerësimin e performancës së gjyqtarëve për të përfshirë një tregues shtesë mbi detyrimin ligjor të gjyqtarëve për të informuar palët për mundësinë e përdorimit të ndërmjetësimit</t>
  </si>
  <si>
    <t xml:space="preserve">3.4.4 Detyrimi ligjor i gjykatave për të informuar siç duhet palët për mundësinë e përdorimit të ndërmjetësimit vlerësohet nga ILD-ja në kuadër të inspektimeve tematike </t>
  </si>
  <si>
    <t xml:space="preserve">Të përfshihet në planin vjetor të inspektimeve tematike të gjykatave (si detyrë më vete ose si inspektim tematik i veçantë) zbatimi i detyrimit ligjor që gjykatat të informojnë palët për mundësinë e përdorimit të ndërmjetësimit. </t>
  </si>
  <si>
    <t xml:space="preserve">Publikimi i gjetjeve dhe rekomandimeve të inspektimeve tematike lidhur me ndërmjetësimin. </t>
  </si>
  <si>
    <t xml:space="preserve">Kryerja e dy analizave mbi rezultatet e inspektimeve tematike në lidhje me ndërmjetësimin duke përfshirë një vlerësim të zbatimit të rekomandimeve të inspektimeve tematike </t>
  </si>
  <si>
    <t>DHKND/MD</t>
  </si>
  <si>
    <t>ILD, DHKND/MD</t>
  </si>
  <si>
    <t>Kosto Objektivi specifik 3.4</t>
  </si>
  <si>
    <t>2026, 2028</t>
  </si>
  <si>
    <t>Kosto totale Qëllimi i Politikës III (objektiva specifike 3.1+3.2+3.3+3.4+3.5+3.6)</t>
  </si>
  <si>
    <t>Objektivi specifik 3.5 Rritja e efikasitetit në gjykata dhe prokurori me anë të mjeteve të Teknologjisë së Informacionit dhe komunikimit.</t>
  </si>
  <si>
    <t>3.5.1</t>
  </si>
  <si>
    <t>3.5.2</t>
  </si>
  <si>
    <t>3.5.1.1</t>
  </si>
  <si>
    <t>3.5.1.2</t>
  </si>
  <si>
    <t>3.5.1.3</t>
  </si>
  <si>
    <t>3.5.1.4</t>
  </si>
  <si>
    <t>3.5.1.5</t>
  </si>
  <si>
    <t>3.5.1.6</t>
  </si>
  <si>
    <t>3.5.1.7</t>
  </si>
  <si>
    <t>3.5.1 Forcimi i efikasitetit te SPAK nepermjet perdorimit te mjeteve te Teknologjise se Informacionit.</t>
  </si>
  <si>
    <t>Perditesimi i platformes per mbledhjen e te dhenave mbi krimin e organizuar dhe veprat penale objekt të veprimtarisë së SPAK</t>
  </si>
  <si>
    <t>Prezantimi dhe perdorimi i mjeteve te IT si pjese e metodave te hetimit te krimit te organizuar</t>
  </si>
  <si>
    <t>Pilotimi fillestar i sistemit të ri për menaxhimin e cështjeve</t>
  </si>
  <si>
    <t>Vlerësimi i sistemit pas një viti funksionalitet dhe hartimi i një manuali bazuar në funksionalitetin e sistemit nëse është e nevojshme</t>
  </si>
  <si>
    <t>Përditësimi i sistemit bazuar në gjetjet e fazës së pilotimit dhe vlerësimit</t>
  </si>
  <si>
    <t>Trajnimi i stafit përdorues të sistemit për përdorimin e Sistemit të menaxhimit të çështjeve</t>
  </si>
  <si>
    <t>Mirembajtja e sistemit te menaxhimit të çështjeve</t>
  </si>
  <si>
    <t xml:space="preserve">3.5.2 Dizenjimi i Sstemit për Menaxhimin e Integruar të Çështjeve (ICMIS), duke përfshirë hartëzimin e të gjitha proceseve, detajet e funksionaliteteve nga Bordi i Qendrës së QTI-së </t>
  </si>
  <si>
    <t xml:space="preserve">Miratimi i Udhërrëfyesit për digjitalizimin e sistemit të drejtësisë nga Bordi i Qendrës së TI-s;           </t>
  </si>
  <si>
    <t xml:space="preserve">Zbatimi i Udhërrëfyesit dhe dizenjimi i sistemeve informatike, të çdo institucioni të sistemit të drejtësisë, sipas referencave nga çdo grup pune sektorial dhe grupi ndërinstitucional; </t>
  </si>
  <si>
    <t>3.5.2.1</t>
  </si>
  <si>
    <t>3.5.2.2</t>
  </si>
  <si>
    <t>3.5.3</t>
  </si>
  <si>
    <t>QTI</t>
  </si>
  <si>
    <t xml:space="preserve"> KLGJ</t>
  </si>
  <si>
    <t>KLGJ, KLP, ILD, PP, BKH, SPAK, Gjykatat e Posacme, MD</t>
  </si>
  <si>
    <t>KLGJ, KLP, ILD, PP, BKH, SPAK, Gjykatat e Posacme, MD, QTI</t>
  </si>
  <si>
    <t>3.5.3.1</t>
  </si>
  <si>
    <t>3.5.3.2</t>
  </si>
  <si>
    <t>3.5.3.3</t>
  </si>
  <si>
    <t>3.5.4</t>
  </si>
  <si>
    <t>3.5.3 Përmirësimi i infrastrukturës së teknologjisë së informacionit në gjykata dhe prokurori</t>
  </si>
  <si>
    <t xml:space="preserve">Zbatimi i standardeve TIK, miratuar nga Bordi i QTI-së.                                                                                                                                                               </t>
  </si>
  <si>
    <t xml:space="preserve">Përditësimi periodik i dokumentit me praktikat më të mira.     </t>
  </si>
  <si>
    <t>Zbatimi i standardeve për ndërtimin e dhomës së serverave nga institucionet e sistemit të drejtësisë.</t>
  </si>
  <si>
    <t>3.5.4.1</t>
  </si>
  <si>
    <t>3.5.4.2</t>
  </si>
  <si>
    <t>3.5.4.3</t>
  </si>
  <si>
    <t>3.5.4.4</t>
  </si>
  <si>
    <t>3.5.4  Ngritja e sistemit të menaxhimit të çështjeve të prokurorisë me standardet aktuale teknologjike e legjislative dhe mirëmbajtja e software-t të sistemit.</t>
  </si>
  <si>
    <t xml:space="preserve">Hartimi i Kërkesave të Biznesit të sistemit të ri informatik nga PP dhe miratimi  në Bordin Drejtues të QTI-së.                                                                                                       </t>
  </si>
  <si>
    <t xml:space="preserve">Hartimi i dokumentit teknik për standardet e dizenjimit dhe standardet për specifikimet teknike të këtij sistemi dhe miratimi në Bordin Drejtues të QTI-së.  </t>
  </si>
  <si>
    <t xml:space="preserve">Hartimi i Dokumentit Standard të Tenderit nga PP  </t>
  </si>
  <si>
    <t>Kryerja e procesit te prokurimit perfshire nënshkrimin e kontrates së prokurimit midis Autoritetit Kontraktor dhe Operatorit Ekonomik fitues dhe ndjekja e zbatimit të kontratës</t>
  </si>
  <si>
    <t>PP,QTI</t>
  </si>
  <si>
    <t>MD, SHM, KLGJ, ILD, KLP</t>
  </si>
  <si>
    <t>3.5.5</t>
  </si>
  <si>
    <t>3.5.5.1</t>
  </si>
  <si>
    <t>3.5.5.2</t>
  </si>
  <si>
    <t>3.5.6</t>
  </si>
  <si>
    <t>3.5.6.1</t>
  </si>
  <si>
    <t>3.5.7</t>
  </si>
  <si>
    <t>3.5.5  Mirëmbajtja e sistemeve te menaxhimit të çështjeve</t>
  </si>
  <si>
    <t>Investime dhe mirëmbajtje për sistemin e menaxhimit të çështjeve dhe pajiset dhe software-t respektive për gjykatat,/KLGJ-në/ILD-në/PP-në.</t>
  </si>
  <si>
    <t>Investime dhe mirëmbajtje për sistemin e menaxhimit të çështjeve dhe pajijset dhe softëare-t respektive për Ministrinë e Drejtësisë dhe institucionet e saj të varësisë.</t>
  </si>
  <si>
    <t xml:space="preserve">QTI, KLGJ, 
PP, ILD, </t>
  </si>
  <si>
    <t>Gjykatat/ Prokuroritë</t>
  </si>
  <si>
    <t>QTI, MD</t>
  </si>
  <si>
    <t>QTI, KLGJ, 
PP, ILD, MD</t>
  </si>
  <si>
    <t>3.5.7.1</t>
  </si>
  <si>
    <t>3.5.7.2</t>
  </si>
  <si>
    <t>3.5.7.3</t>
  </si>
  <si>
    <t>3.5.7.4</t>
  </si>
  <si>
    <t>3.5.7.5</t>
  </si>
  <si>
    <t>3.5.8</t>
  </si>
  <si>
    <t>3.5.6 Plani strategjik për zbatimin e sistemit të teknologjisë së informacionit duke përfshirë ndërveprueshmërinë në sistemin e drejtësisë, duke përfshirë prokurorinë, gjykatat dhe institucionet e tjera të drejtësisë, miratohet nga Bordi i Qendrës së TI-së.</t>
  </si>
  <si>
    <t>Hartimi i një plani strategjik dhe plani veprimi për zbatimin e tij në lidhje me qëllimet strategjike dhe masat që duhen marrë për zbatimin e sistemit të teknologjisë së informacionit duke përfshirë ndërveprueshmërinë në sistemin e drejtësisë.</t>
  </si>
  <si>
    <t>3.5.8.1</t>
  </si>
  <si>
    <t>3.5.8.2</t>
  </si>
  <si>
    <t>3.5.9</t>
  </si>
  <si>
    <t xml:space="preserve">3.5.7 Burimet e duhura njerëzore dhe mbështetja buxhetore i dedikohet krijimit të një ICMIS-i që garanton ndërlidhje të sigurt me bazat e të dhënave dhe sistemet përkatëse dhe ndërveprimet bazuar në parashikimet vjetore. </t>
  </si>
  <si>
    <t xml:space="preserve">Sigurimi i mbështetjes financiare </t>
  </si>
  <si>
    <t xml:space="preserve">Ngritja e grupeve të punës për cdo institucion të ndërlidhur, pas miratimit të Udhërrëfyesit </t>
  </si>
  <si>
    <t xml:space="preserve">Përcaktimi i aspekteve teknike nga grupet e punës </t>
  </si>
  <si>
    <t xml:space="preserve"> Ngritja e grupit të punës për ndryshime ligjore </t>
  </si>
  <si>
    <t xml:space="preserve">Ngritja e grupit të punës ndërinstitucional për koordinimin </t>
  </si>
  <si>
    <t>KLGJ, QTI</t>
  </si>
  <si>
    <t xml:space="preserve">KLGJ, KLP, ILD, PP, BKH, SPAK, Gjykatat e Posacme, </t>
  </si>
  <si>
    <t xml:space="preserve">QTI, KLGJ, KLP, ILD, PP, BKH, SPAK, Gjykatat e Posacme, </t>
  </si>
  <si>
    <t xml:space="preserve"> KLP, ILD, PP, BKH, SPAK, Gjykatat e Posacme, </t>
  </si>
  <si>
    <t>3.5.8 Qendra e TI-së siguron koordinimin e duhur në zbatimin e sistemeve të menaxhimit të çështjeve duke siguruar ndërveprueshmëri;</t>
  </si>
  <si>
    <t xml:space="preserve">Zbatimi i vendimit të Bordit nr. 9/2023 mbi "Kornizën e Ndërveprimit për Sistemin e Drejtësisë në Republikën e Shqipërisë" </t>
  </si>
  <si>
    <t xml:space="preserve">Raportim i GNP të ngritur nga QTI mbi udhëheqjen e projektit të digjitalizimit të sistemit të drejtësisë; </t>
  </si>
  <si>
    <t>3.5.9 Qendra e TI-së është e pajisur me burimet e nevojshme njerëzore dhe gëzon kompetenca ekzekutive për të funksionuar në mënyrë efikase.</t>
  </si>
  <si>
    <t>3.5.9.1</t>
  </si>
  <si>
    <t>3.5.9.2</t>
  </si>
  <si>
    <t>Plotësimi i organikës së institucionit</t>
  </si>
  <si>
    <t xml:space="preserve">Vlerësim i ndërmjetëm i strukturës dhe kapaciteteve të QTI duke përfshirë propozime për ndryshime
</t>
  </si>
  <si>
    <t xml:space="preserve">  QTI</t>
  </si>
  <si>
    <t>3.5.10</t>
  </si>
  <si>
    <t>3.5.10.1</t>
  </si>
  <si>
    <t>3.5.10.2</t>
  </si>
  <si>
    <t>3.5.11</t>
  </si>
  <si>
    <t>3.5.11.1</t>
  </si>
  <si>
    <t>3.5.11.2</t>
  </si>
  <si>
    <t>3.5.11.3</t>
  </si>
  <si>
    <t>3.5.10 Ofrimi i trajnimeve për funksionet dhe përdorimin e sistemit të integruar të menaxhimit të çështjeve.</t>
  </si>
  <si>
    <t xml:space="preserve">Hartimi dhe miratimi i Analizës së Nevojave për Trajnim (ANT) dhe planit vjetor të ngritjes së kapaciteteve për çdo projekt zhvillimi, në kuadër të digjitalizimit të sistemit të drejtësisë </t>
  </si>
  <si>
    <t>Çdo institucion i sistemit të drejtësisë harton analize te nevojave lidhur me  trajnimin dhe garanton dokumentimin e këtyre kurrikulave në manuale përdorimi të brendshëm, bazuar në ANT e miratuar nga Bordi i QTI-së për secilin projekt.</t>
  </si>
  <si>
    <t>QTI
KLGJ, KLP, PP, BKH, SPAK, Gjykatat e Posaçme, ILD</t>
  </si>
  <si>
    <t>QTI, KLGJ, KLP, PP, BKH, SPAK, Gjykatat e Posaçme, ILD</t>
  </si>
  <si>
    <t>3.5.11.4</t>
  </si>
  <si>
    <t>3.5.12</t>
  </si>
  <si>
    <t>3.5.12.1</t>
  </si>
  <si>
    <t>3.5.12.2</t>
  </si>
  <si>
    <t>3.5.12.3</t>
  </si>
  <si>
    <t>3.5.12.4</t>
  </si>
  <si>
    <t>3.5.12.5</t>
  </si>
  <si>
    <t>Zhvillimi i kapaciteteve Teknologjise se Informacionit te GJK dhe mundesimi i aksesit ne praktiken gjyqesore</t>
  </si>
  <si>
    <t xml:space="preserve">Kryerja e një studimi dhe specifikimi i kërkesave të Gjykatës Kushtetuese në lidhje me teknologjinë e informacionit,  menaxhimin e çështjeve, arkivimin elektronik, nevojën për staf të specializuar etj.
</t>
  </si>
  <si>
    <t xml:space="preserve">Ngritja e sistemit të menaxhimit të çështjeve </t>
  </si>
  <si>
    <t xml:space="preserve">Plotësimi i vendeve të lira me staf të specializuar për përdorimin dhe administrimin e sistemit të menaxhimit të çështjeve. </t>
  </si>
  <si>
    <t xml:space="preserve">Digjitalizimi/Krijimi i arkivës elektronike të Gjykatës Kushtetuese </t>
  </si>
  <si>
    <t>GJK</t>
  </si>
  <si>
    <t xml:space="preserve">3.5.12 Permiresimi i statistikave kombetare te drejtesise nepermjet miratimit dhe zbatimit te Udhezimit te Ministrit per statistikat kombetare te drejtesise, bazuar ne metodologjine e CEPEJ ne konsultim me institucionet e qeverisjes se sistemit te drejtesise </t>
  </si>
  <si>
    <t xml:space="preserve">Kryerja e një analize për hartimin dhe percaktimin e objektit të projekt-udhëzimit të ri të MD </t>
  </si>
  <si>
    <t xml:space="preserve">Konsultimi i MD me Këshillin e Lartë Gjyqësor lidhur me projekt-udhëzimin e ri për statistikat gjyqësore kombëtare </t>
  </si>
  <si>
    <t xml:space="preserve">Tryezë e rrumbullakët me të gjitha institucionet e qeverisjes te sistemit te drejtesise dhe aktorët përkatës (KLGJ, PP, ASH, Drejtoria e Përgjithshme e Shërbimit Shtetëror të Përmbarimit, INSTAT, ILD, SHM, SPAK etj) për përmirësimin e mëtejshëm të projekt-udhëzimit </t>
  </si>
  <si>
    <t>Miratimi i Udhëzimit te ri i MD-së në koordinim me Këshillin e Lartë Gjyqësor</t>
  </si>
  <si>
    <t>Sigurimi i burimeve njerezore te specializuara (p.sh ngritja e njesise se dedikuar per mbledhjen dhe analizimin e statistikave) , me qellim analizimin e te dhenave statistikore dhe pergatitjen e propozimeve te politikave te nevojshme bazuar ne gjetjet e analizes.</t>
  </si>
  <si>
    <t>MD, KLGJ</t>
  </si>
  <si>
    <t>KLGJ, PP, ASH, Drejtoria e Përgjithshme e Shërbimit Shtetëror të Përmbarimit, INSTAT, SHM, ILD, SPAK</t>
  </si>
  <si>
    <t>DAP</t>
  </si>
  <si>
    <t>Objektivi specifik 3.6 Permiresimi i kapacitetit te MD dhe institucioneve te varesise per te perforcuar aksesin ne drejtesi</t>
  </si>
  <si>
    <t>Kosto Objektivi specifik 3.5</t>
  </si>
  <si>
    <t>3.6.1</t>
  </si>
  <si>
    <t>3.6.1.1</t>
  </si>
  <si>
    <t>3.6.1.2</t>
  </si>
  <si>
    <t>3.6.1.3</t>
  </si>
  <si>
    <t>3.6.2</t>
  </si>
  <si>
    <t>3.6.3</t>
  </si>
  <si>
    <t>3.6.4</t>
  </si>
  <si>
    <t>3.6.5</t>
  </si>
  <si>
    <t>3.6.2.1</t>
  </si>
  <si>
    <t>3.6.2.2</t>
  </si>
  <si>
    <t>3.6.2.3</t>
  </si>
  <si>
    <t>3.6.3.1</t>
  </si>
  <si>
    <t>3.6.3.2</t>
  </si>
  <si>
    <t>3.6.3.3</t>
  </si>
  <si>
    <t>3.6.4.1</t>
  </si>
  <si>
    <t>3.6.4.2</t>
  </si>
  <si>
    <t>3.6.5.1</t>
  </si>
  <si>
    <t>3.6.5.2</t>
  </si>
  <si>
    <t>3.6.5.3</t>
  </si>
  <si>
    <t>3.6.6</t>
  </si>
  <si>
    <t>3.6.6.1</t>
  </si>
  <si>
    <t>3.6.6.2</t>
  </si>
  <si>
    <t>3.6.7</t>
  </si>
  <si>
    <t>3.6.7.1</t>
  </si>
  <si>
    <t>3.6.7.2</t>
  </si>
  <si>
    <t>3.6.1 Konsolidimi i Masterplanit te Burgjeve duke përfshirë ndër të tjera masa për rinovimin e infrastrukturës së burgjeve dhe rritjen e kapaciteteve akomoduese për të dënuarit me burgim .</t>
  </si>
  <si>
    <t xml:space="preserve">Krijimi i nje ambjenti te sigurte dhe promovues duke miratuar dhe zbatuar nje plan per ndertimin dhe rinovimin e burgjeve </t>
  </si>
  <si>
    <t xml:space="preserve">Ngritja e nje ekipi te qendrueshem, me integritet, te motivuar dhe profesional nepermjet aktiviteteve te rregullta dhe specifike per rritjen e kapaciteteve dhe zhvillimi i nje sistemi per vleresimin e perfomances dhe promovimit te stafit </t>
  </si>
  <si>
    <t xml:space="preserve">Forcimi i procesit te rehabilitimit dhe ri-integrimit te te burgosurve nepermjet zbatimit te instrumenteve edukativ dhe perfshirjes se institucioneve te tjera </t>
  </si>
  <si>
    <t>MD, DPB</t>
  </si>
  <si>
    <t>3.6.2 Miratimi i Planit te Integritetit që adreson risqet e integritetit në sistemin penitenciar</t>
  </si>
  <si>
    <t xml:space="preserve">Hartimi dhe miratimi i Planit te Integritetit </t>
  </si>
  <si>
    <t>Monitorimi i zbatimit te Planit te Integritetit</t>
  </si>
  <si>
    <t>Vleresimi i zbatimit te Planit te Integritetit dhe efekti i masave te percaktuara nga plani per integritetin e personelit dhe imazhit te institucionit</t>
  </si>
  <si>
    <t xml:space="preserve"> MD, DPB</t>
  </si>
  <si>
    <t>2026, 2028, 2030</t>
  </si>
  <si>
    <t xml:space="preserve">3.6.3 Drejtoria e Përgjithshme e Burgjeve miraton rregullat e brendshme për çdo institucion të ekzekutimit të vendimeve penale, duke synuar adresimin e rekomandimeve të Avokatit të Popullit dhe CPT. </t>
  </si>
  <si>
    <t xml:space="preserve">Hartimi dhe miratimi i Rregullave te brendshme per cdo IEVP </t>
  </si>
  <si>
    <t xml:space="preserve">Vleresimi i zbatimit te Rregullave te Brendshme dhe permiresimi sipas nevojave </t>
  </si>
  <si>
    <t>Rritje e kapaciteteve te stafit per implementimin e Rregullave te Brendshme</t>
  </si>
  <si>
    <t>3.6.4 Drejtoria e Përgjithshme e Burgjeve dhe Ministria e Drejtësisë vazhdojnë të ndërmarrin masa për ngritjen e kapaciteteve për të rritur aftësinë raportuese dhe zbatuese të rekomandimeve të CPT-së.</t>
  </si>
  <si>
    <t xml:space="preserve">Krijimi i nje njesie vetem per raportimin ne lidhje me Integrimin Europian </t>
  </si>
  <si>
    <t xml:space="preserve"> Rritja e kapaciteteve dhe specializimi i anetareve te njesise raportuese </t>
  </si>
  <si>
    <t xml:space="preserve">3.6.5 Optimizimi i ndërhyrjes dhe pasurimi i portofolit të stafit me instrumente psiko-edukative dhe terapeutike, këshillim klinik, qasje terapeutike, maksimizimi i mbështetjes psiko-sociale . </t>
  </si>
  <si>
    <t xml:space="preserve"> Permiresimi i protokolleve per funksionimit te seksionit te Kujdesit te Vecante per te burgosurit me probleme te shendetit mendor</t>
  </si>
  <si>
    <t>Rritja e kapaciteteve te stafit ne lidhje me qasjen terapeutike dhe mbështetjen psiko-sociale nepermjet trajnimit te vazhdueshem nga qendra e trajnimeve</t>
  </si>
  <si>
    <t>Zbatimi i programeve te nderhyrjes sipas problematikave te identifikuara</t>
  </si>
  <si>
    <t xml:space="preserve">3.6.6 Qeveria siguron burime të përshtatshme dhe siguron ndërtimin ose rinovimin e IEVP-ve </t>
  </si>
  <si>
    <t>Venia ne funksion e IEVP-së së Pojskës</t>
  </si>
  <si>
    <t>Rinovimi i 3 IEVP-ve</t>
  </si>
  <si>
    <t>3.6.8</t>
  </si>
  <si>
    <t>3.6.8.1</t>
  </si>
  <si>
    <t>3.6.7 Ngritja dhe funksionimi institucionit per trajtimin e pacienteve te psikiatrise ligjore ne bashkepunim me Ministrine e Shendetesise dhe Mbrojtjes Sociale</t>
  </si>
  <si>
    <t>Sigurimi i burimeve të nevojshme për ngritjen dhe funksionimin e Institucionit të Posaçëm Mjekësor për trajtimin e pacientëve të psikiatrisë ligjore .</t>
  </si>
  <si>
    <t>Bashkëpunim efikas ndërmjet Ministrisë së Shëndetësisë dhe Mbrojtjes Sociale dhe Ministrisë së Drejtësisë me fokus pacientët mjeko-ligjorë.</t>
  </si>
  <si>
    <t>MSHMS, MD, DPB</t>
  </si>
  <si>
    <t>3.6.8.2</t>
  </si>
  <si>
    <t>3.6.8.3</t>
  </si>
  <si>
    <t>3.6.8.4</t>
  </si>
  <si>
    <t>3.6.9</t>
  </si>
  <si>
    <t>3.6.9.1</t>
  </si>
  <si>
    <t>3.6.9.2</t>
  </si>
  <si>
    <t>3.6.9.3</t>
  </si>
  <si>
    <t>3.6.9.4</t>
  </si>
  <si>
    <t>3.6.10</t>
  </si>
  <si>
    <t>3.6.8 Rritja e efektivitetit te IEVP-ve nepermjet rekomandimeve te inspektimeve te brendshme</t>
  </si>
  <si>
    <t>Hartimi i analizes se punes se Drejtorise se Inspektimeve</t>
  </si>
  <si>
    <t>Raportim mbi implementimin e rekomandimeve te nxjerra nga analiza</t>
  </si>
  <si>
    <t>Miratimi i planit vjetor per inspektimet e brendshme</t>
  </si>
  <si>
    <t xml:space="preserve">Monitorimi i planit vjetor per inspektimet e brendshme </t>
  </si>
  <si>
    <t>3.6.9  Rritje e efikasitetit te Sherbimit te Proves nepermjet permiresimit te organizimit te punes dhe forcimit te kapaciteteve</t>
  </si>
  <si>
    <t>MD, DSHP</t>
  </si>
  <si>
    <t>ASPA</t>
  </si>
  <si>
    <t xml:space="preserve">Permiresimi i infrastruktures kapaciteteve logjistike ne zyrat lokale </t>
  </si>
  <si>
    <t>Zhvillimi i metejshem i sistemit te administrimit te ceshtjeve ne perputhje me standartet TIK</t>
  </si>
  <si>
    <t>3.6.10.1</t>
  </si>
  <si>
    <t>3.6.10.2</t>
  </si>
  <si>
    <t>3.6.10.3</t>
  </si>
  <si>
    <t>3.6.10.4</t>
  </si>
  <si>
    <t>3.6.10.5</t>
  </si>
  <si>
    <t>3.6.10.6</t>
  </si>
  <si>
    <t>3.6.11</t>
  </si>
  <si>
    <t>3.6.12</t>
  </si>
  <si>
    <t>3.6.11.1</t>
  </si>
  <si>
    <t>3.6.11.2</t>
  </si>
  <si>
    <t>3.6.12.1</t>
  </si>
  <si>
    <t>3.6.12.2</t>
  </si>
  <si>
    <t>3.6.13</t>
  </si>
  <si>
    <t>3.6.14</t>
  </si>
  <si>
    <t>3.6.14.1</t>
  </si>
  <si>
    <t>3.6.14.2</t>
  </si>
  <si>
    <t>3.6.14.3</t>
  </si>
  <si>
    <t>3.6.13.1</t>
  </si>
  <si>
    <t>3.6.13.2</t>
  </si>
  <si>
    <t>3.6.13.3</t>
  </si>
  <si>
    <t>3.6.13.4</t>
  </si>
  <si>
    <t>3.6.10 Rritja e kapaciteteve njerezore dhe infrastrukturore per mirefunksionimin e DNJF</t>
  </si>
  <si>
    <t xml:space="preserve">Analize mbi nevojat per rritjen e burimeve njerezore per mirefunksionimin e struktures se DNJF </t>
  </si>
  <si>
    <t>Plotësimi i vendeve vakante të DNJF bazuar në gjetjet e analizës</t>
  </si>
  <si>
    <t xml:space="preserve">Analize mbi nevojat per trajnimin e punonjesve te struktures se DNJF </t>
  </si>
  <si>
    <t xml:space="preserve">
Zbatimi i gjetjeve te analizes mbi nevojat per trajnim.</t>
  </si>
  <si>
    <t xml:space="preserve"> Hartimi i një analize mbi nevojat infrastrukturore të DNJF</t>
  </si>
  <si>
    <t xml:space="preserve">Zbatimi i gjetjeve te analizes me qellim sigurimin e mjediseve, infrastrukturës, pajisjeve, mjeteve të transportit, të mjaftueshme dhe të përshtatshme, dhe mbështetje të qëndrueshme buxhetore për funksionimin efektiv të sistemit të DNJF-së </t>
  </si>
  <si>
    <t>MD, DNJF</t>
  </si>
  <si>
    <t>DAP, ASPA</t>
  </si>
  <si>
    <t>Qershor 2025,  Dhjetor 2027</t>
  </si>
  <si>
    <t>3.6.11 Rishikimi i paketes rregullatore  ne lidhje me konsolidimin e praktikes per ofrimin e ndihmes ligjore</t>
  </si>
  <si>
    <t>Analize per ndryshimet ligjore dhe nenligjore ne lidhje me konsolidimin e praktikes per ofrimin e ndihmes ligjore</t>
  </si>
  <si>
    <t xml:space="preserve">Hartimi  i paketes ligjore/nenligjore ne lidhje me konsolidimin e praktikes per ofrimin e ndihmes ligjore
</t>
  </si>
  <si>
    <t>DNJF</t>
  </si>
  <si>
    <t>DNJF, MD/Kodifikimi</t>
  </si>
  <si>
    <t xml:space="preserve"> 2024, 2026, 2028, 2030</t>
  </si>
  <si>
    <t>2025, 2027, 2029</t>
  </si>
  <si>
    <t xml:space="preserve">3.6.12  Informimi, ndergjegjesimi dhe rritja e aksesit te subjekteve te ligjit per Ndihmen Juridike Falas mbi te drejtat e tyre dhe zgjidhjen e mosmarrveshjeve </t>
  </si>
  <si>
    <t xml:space="preserve">Kërkesa bahkëpunimi dhe tryeza të përbashkëta me institucionet perkatese me qellim garantimin e nje  bashkepunimi te qendrueshem mbi ndergjegjesimin e qytetareve per aksesin ne Ndihmen Juridike Falas (perfshire trajnime te dedikuara) 
</t>
  </si>
  <si>
    <t xml:space="preserve">Miratimi i kalendarit te punes per rritjen e informimit dhe ndergjegjesimit te subjekteve te ligjit dhe zbatimi i kalendarit </t>
  </si>
  <si>
    <t>DNJF, MD</t>
  </si>
  <si>
    <t>DHKA,SHM,KLGJ</t>
  </si>
  <si>
    <t xml:space="preserve">3.6.13 Rritja e efektivitetit te Sherbimit te Noterise nepermjet rritjes se kapaciteteve, llogaridhenies dhe digjitalizimit </t>
  </si>
  <si>
    <t>Hartimi dhe implementimi i protokolleve të standardizuara për inspektime, për të siguruar një proces të drejtë dhe të barabartë (Akte nënligjore në kuadër të ndryshime në ligjet respektive).</t>
  </si>
  <si>
    <t>Inspektime te rregullta te notereve dhe publikimi i vendimeve disiplinore me qellim rritjen e transparencës dhe besueshmërisë se publikut.</t>
  </si>
  <si>
    <t>Organizimi i trajnimeve të rregullta për noterët mbi ndryshimet ligjore, etikën profesionale dhe teknologjitë e reja.</t>
  </si>
  <si>
    <t>Zhvillimi i një platforme digjitale, funksionimi i sistemeve për menaxhimin dhe monitorimin e punës së noterëve  nëpërmjet RNSH dhe NISA.</t>
  </si>
  <si>
    <t xml:space="preserve">3.6.14 Rritja e efektivitetit te Sherbimit te Permbarimit nepermjet rritjes se kapaciteteve, llogaridhenies dhe digjitalizimit </t>
  </si>
  <si>
    <t>Kontrolle te rregullta te sherbimit permbarimor dhe publikimi  vendimeve  me qellim rritjen e transparencës dhe besueshmërisë se publikut.</t>
  </si>
  <si>
    <t>Organizimi i trajnimeve të rregullta për permbaruesit mbi ndryshimet ligjore, etikën profesionale dhe teknologjitë e reja.</t>
  </si>
  <si>
    <t>Zhvillimi i një platforme dixhitale, funksionimi i sistemeve për menaxhimin dhe monitorimin e sherbimit permbarimor</t>
  </si>
  <si>
    <t>MD, Drejtoria e Monitorimit të Profesioneve të Lira</t>
  </si>
  <si>
    <t xml:space="preserve">IV. Programi buxhetor që kontribuon për qëllimin e politikës: </t>
  </si>
  <si>
    <t>Qëllimi i Politikës 4. Forcimi i cilësisë së drejtësisë</t>
  </si>
  <si>
    <t>Objektivi specifik 4.1: Sigurimi i burimeve financiare, njerëzore dhe infrastrukturore për mirë-funksionimin e sistemit të drejtësisë.</t>
  </si>
  <si>
    <t>4.1.1 Sigurimi i burimeve financiare, njerëzore dhe infrastrukturore për mirë-funksionimin e sistemit të drejtësisë</t>
  </si>
  <si>
    <t>Propozimet për buxhetin vjetor;</t>
  </si>
  <si>
    <t>Buxhet i miratuar ndaj kërkesave të PBA</t>
  </si>
  <si>
    <t>Buxhet i realizuar ndaj buxhetit të miratuar</t>
  </si>
  <si>
    <t>4.1.2 Përmirësimi gradual i infrastrukturës gjyqësore, duke përfshirë ambiente të përshtatshme për gjykatën e apelit.</t>
  </si>
  <si>
    <t xml:space="preserve">Vlerësimi i infrastrukturës për gjykatat dhe prokuroritë (përfshirë Gjykatën e Apelit dhe Prokurorinë e Apelit); </t>
  </si>
  <si>
    <t>Plani i përgjithshëm i veprimit infrastrukturor për gjykatat dhe prokuroritë përfshirë Gjykatën e Apelit dhe Prokurorinë e Apelit.</t>
  </si>
  <si>
    <t xml:space="preserve">Zbatimi i Planit të Veprimit infrastrukturor. </t>
  </si>
  <si>
    <t xml:space="preserve">Ngritja e godinës së Gjykatës së Apelit dhe Prokurorisë së Apelit duke përfshirë ambiente të përshtatshme për funksionimin e tyre. 
</t>
  </si>
  <si>
    <t>Raportim periodik lidhur me ecurinë e përmirësimit të infrastrukturës në prokurori dhe gjykata.</t>
  </si>
  <si>
    <t>4.1.3.3</t>
  </si>
  <si>
    <t xml:space="preserve">4.1.3 Plotesimi i vendeve vakante për magjistratë nga Këshillat dhe Gjykata Kushtetuese. </t>
  </si>
  <si>
    <t xml:space="preserve">Kryerja e analizës vjetore dhe plotësimit të tyre për 3 vitet e ardhshme për përcaktimin e numrit të studentëve që mund të pranohen në Programin e Formimit Fillestar në Shkollën e Magjistraturës </t>
  </si>
  <si>
    <t>SHM krijon kushtet per ofrimin e trajnimit per kuotat e përcaktuara nga Këshillat.</t>
  </si>
  <si>
    <t>Plotësimi i vakancave për këshilltarë ligjorë të Gjykatës Kushtetuese nga rradhët e magjistratëve</t>
  </si>
  <si>
    <t>GJK , GJK</t>
  </si>
  <si>
    <t>SHM, KLGJ, KLP</t>
  </si>
  <si>
    <t>Qëllimi i Politikës 5.  Drejtësi më e afërt me qytetarët.</t>
  </si>
  <si>
    <t xml:space="preserve">Objektivi specifik 5.1: Informimi, edukimi dhe ndërgjegjësimi i publikut mbi sistemin e drejtësisë përmes përdorimit të mjeteve dhe metodave inovative të komunikimit </t>
  </si>
  <si>
    <t>5.1.1</t>
  </si>
  <si>
    <t>5.1.1.1</t>
  </si>
  <si>
    <t>5.1.1.2</t>
  </si>
  <si>
    <t>5.1.1.3</t>
  </si>
  <si>
    <t>5.1.1.4</t>
  </si>
  <si>
    <t>5.1.2</t>
  </si>
  <si>
    <t>5.1.2.1</t>
  </si>
  <si>
    <t>5.1.2.2</t>
  </si>
  <si>
    <t>5.1.2.3</t>
  </si>
  <si>
    <t>5.1.2.4</t>
  </si>
  <si>
    <t>5.1.2.5</t>
  </si>
  <si>
    <t>5.1.3</t>
  </si>
  <si>
    <t>5.1.3.1</t>
  </si>
  <si>
    <t>5.1.3.2</t>
  </si>
  <si>
    <t xml:space="preserve">5.1.1 Hartimi dhe publikimi i materialeve informuese në gjuhë të thjeshtë dhe të kuptueshme lidhur me organizimin, kompetencat dhe funksionimin e gjykatave dhe përditësimi periodik i tyre </t>
  </si>
  <si>
    <t>Publikimi online i grafikës informuese për secilën gjykatë, që përmban shpjegimin mbi kompetencat, organizimin,  numrin e gjyqtarëve, infrastrukturën, largësinë, etj.;</t>
  </si>
  <si>
    <t>Hartimi dhe publikimi i një materiali informues online, në gjuhë të thjeshtë mbi riorganizimin gjyqësor në tërësi</t>
  </si>
  <si>
    <t xml:space="preserve">Publikimi i një video informuese mbi riorganizimin e gjyqësorit, duke e shoqëruar me audio dhe gjuhën e shenjave; </t>
  </si>
  <si>
    <t xml:space="preserve">Përditësimi i informacionit dhe reflektimi i tij në materialet informuese dhe videot e publikuara  </t>
  </si>
  <si>
    <t xml:space="preserve">5.1.2  Intervista në media me qëllim informimin mbi ndryshimet/risitë/përfitimet që solli Reforma në Drejtësi dhe promovimi i rezultateve të arritura. </t>
  </si>
  <si>
    <t>Dhënia e intervistave televizive në median kombëtare ose lokale për secilën gjykatë të çdo niveli</t>
  </si>
  <si>
    <t>Dhënia e intervistave televizive në median kombëtare mbi organizimin, funksionimin, kompetencat e posaçme dhe rezultatet e punës së gjykatave të juridiksionit të posaçëm</t>
  </si>
  <si>
    <t>Dhënia e intervistave në media mbi hartën e re gjyqësore</t>
  </si>
  <si>
    <t>Publikimi i tyre në faqen e internetit dhe rrjetet sociale</t>
  </si>
  <si>
    <t>Zhvillimi i takimeve të Kryetarit të Gjykatës me përfaqësuesit e medias në formën e konferencës për shtyp pas shpalljes së vendimeve për çështje me interes të lartë për publikun, për të informuar me gjuhë të thjeshtë përmbajtjen e vendimit</t>
  </si>
  <si>
    <t>KLGJ, GJK</t>
  </si>
  <si>
    <t>5.1.4</t>
  </si>
  <si>
    <t>5.1.4.1</t>
  </si>
  <si>
    <t>5.1.4.2</t>
  </si>
  <si>
    <t>5.1.4.3</t>
  </si>
  <si>
    <t>5.1.4.4</t>
  </si>
  <si>
    <t>5.1.4.5</t>
  </si>
  <si>
    <t>5.1.3  Informimi dhe ndërgjegjësimi i publikut lidhur me sistemin gjyqësor nëpërmjet platformave të mediave sociale</t>
  </si>
  <si>
    <t xml:space="preserve">Krijimi, plotësimi dhe/ose përditësimi i llogarive në FB, LinkedIN dhe Tëitter për secilën gjykatë  </t>
  </si>
  <si>
    <t xml:space="preserve">Përditësimi periodik i llogarive. </t>
  </si>
  <si>
    <t>5.1.5</t>
  </si>
  <si>
    <t>5.1.5.1</t>
  </si>
  <si>
    <t>5.1.4 Hartimi dhe Publikimi i informacioneve shpjeguese për qytetarët mbi aksesin në intitucionet e drejtësisë dhe publikimi i tyre në faqet zyrtare të institucioneve të drejtësisë</t>
  </si>
  <si>
    <t>Hartimi në gjuhë të thjeshtë dhe të kuptueshme i materialeve shpjeguese për publikun</t>
  </si>
  <si>
    <t>Krijimi dhe / ose përditësimi i rubrikës “Pyetje të shpeshta</t>
  </si>
  <si>
    <t>Publikimi i materialeve në faqet zyrtare të institucioneve të drejtësisë</t>
  </si>
  <si>
    <t>Krijimi i videove shpjeguese mbi aksesin në institucionet e drejtësisë, procedurat e ndjekura, format e kërkësës, tarifat gjyqësore, të drejtat procedural.</t>
  </si>
  <si>
    <t>Krijimi dhe publikimi i videove shpjeguese për mënyrën se si mund t’i drejtohemi Gjykatës Kushtetuese nëpërmjet një ankimi individual kushtetues</t>
  </si>
  <si>
    <t>KLGJ, KLP, ILD, Gjykatat, PP</t>
  </si>
  <si>
    <t>GjK</t>
  </si>
  <si>
    <t>5.1.6</t>
  </si>
  <si>
    <t>5.1.6.1</t>
  </si>
  <si>
    <t>5.1.6.2</t>
  </si>
  <si>
    <t>5.1.6.3</t>
  </si>
  <si>
    <t>5.1.6.4</t>
  </si>
  <si>
    <t>5.1.6.5</t>
  </si>
  <si>
    <t>5.1.5 Hartimi dhe publikimi i buletinit periodik të gjykatave</t>
  </si>
  <si>
    <t>Hartimi dhe Publikimi i buletinit 3 - mujor në të cilën do të trajtohen çështje që lidhen me veprimtarinë e Gjykatës së Lartë/ GJK/, ndryshimet në legjislacion, vendime unifikuese, statistika etj.</t>
  </si>
  <si>
    <t>GJK, GJL</t>
  </si>
  <si>
    <t>5.1.6 Hartimi i materialeve informuese mbi procedurën që ndiqet në çështjet penale, civile dhe ato administrative; mënyrën e paraqitjes së çështjeve, kërkesave/ankesave drejtuar gjykatës; formatet standarde; shërbimet që mund të merren nga Gjykatat; e drejta e ankimit/rekursit dhe afatet.</t>
  </si>
  <si>
    <t>Hartimi i broshurave informative (penale, civile dhe procedura administrative) të përshtatura për secilën gjykatë</t>
  </si>
  <si>
    <t>Përgatitja dhe publikimi online i fletëpalosjeve mbi kërkesat/ankesat drejtuar gjykatës;</t>
  </si>
  <si>
    <t xml:space="preserve">Publikimi në faqen e internetit të formateve standarde të akteve dhe kërkesave që i drejtohen gjykatës; </t>
  </si>
  <si>
    <t>Përgatitja dhe publikimi online i  fletëpalosjeve mbi të drejtën e ankimit dhe rekursit</t>
  </si>
  <si>
    <t>Publikimi në faqen e internetit dhe rrjetet sociale të materialeve të përgatitura nga secila gjykatë.</t>
  </si>
  <si>
    <t>5.1.7</t>
  </si>
  <si>
    <t>5.1.7.1</t>
  </si>
  <si>
    <t>5.1.7.2</t>
  </si>
  <si>
    <t>5.1.7.3</t>
  </si>
  <si>
    <t>5.1.7.4</t>
  </si>
  <si>
    <t>5.1.8</t>
  </si>
  <si>
    <t>5.1.7 Perditesimi i materialeve informuese mbi procedurën që ndiqet në çështjet penale ; mënyrën e paraqitjes së kallzimeve drejtuar Prokurorisë; formatet standarde; shërbimet që mund të merren nga Prokuroria; e drejta e ankimit/rekursit dhe afatet.</t>
  </si>
  <si>
    <t>Perditesimi i broshurave informative mbi procedurat e ndjekura nga Prokuroria në çështjet e trajtuara</t>
  </si>
  <si>
    <t>Perditesimi, përgatitja dhe publikimi online i fletëpalosjeve mbi kallzimet drejtuar Prokurorisë;</t>
  </si>
  <si>
    <t>Publikimi në faqen e internetit të formateve standarde të akteve dhe kërkesave që i Prokurorisë</t>
  </si>
  <si>
    <t>Perditesimi, përgatitja dhe publikimi online i  fletëpalosjeve mbi të drejtën e ankimit dhe rekursit</t>
  </si>
  <si>
    <t>5.1.8.1</t>
  </si>
  <si>
    <t>5.1.8.2</t>
  </si>
  <si>
    <t>5.1.9</t>
  </si>
  <si>
    <t>5.1.9.1</t>
  </si>
  <si>
    <t>5.1.9.2</t>
  </si>
  <si>
    <t>5.1.10</t>
  </si>
  <si>
    <t>5.1.8 Informimi i publikut mbi veprimtarinë e prokurorisë së posacme dhe BKH, aksesi i qytetarëve, llojet e çështjeve që trajtojnë, e drejta e ankimit/rekursit dhe afatett</t>
  </si>
  <si>
    <t>Publikimi në faqen e internetit të formateve standarde të akteve dhe kërkesave që i drejtohen SPAK</t>
  </si>
  <si>
    <t xml:space="preserve">5.1.9 Organizimi i aktiviteteve informuese rreth kompetencave të ILD-së, procedurave, afateve, të drejtave të palëve </t>
  </si>
  <si>
    <t>Planifikimi dhe realizimi i sesioneve informuese rreth rolit, kompetencave veprimtarisë së ILD</t>
  </si>
  <si>
    <t xml:space="preserve">Përgatitja dhe publikimi online i broshurave informative rreth procedurave, afateve, të drejtave të palëve </t>
  </si>
  <si>
    <t>5.1.10.1</t>
  </si>
  <si>
    <t>5.1.10.2</t>
  </si>
  <si>
    <t>5.1.10.3</t>
  </si>
  <si>
    <t>5.1.10.4</t>
  </si>
  <si>
    <t>5.1.11</t>
  </si>
  <si>
    <t>5.1.11.1</t>
  </si>
  <si>
    <t>5.1.11.2</t>
  </si>
  <si>
    <t>5.1.11.3</t>
  </si>
  <si>
    <t>5.1.11.4</t>
  </si>
  <si>
    <t>5.1.11.5</t>
  </si>
  <si>
    <t>5.1.11.6</t>
  </si>
  <si>
    <t>5.1.12</t>
  </si>
  <si>
    <t>5.1.10 Informimi dhe ndërgjegjësimi i publikut mbi mjetet alternative të zgjidhjeve të mosmarrëveshjeve</t>
  </si>
  <si>
    <t xml:space="preserve">Përgatitja dhe publikimi i një fletëpalosje dhe një video online për ndërmjetësimin; </t>
  </si>
  <si>
    <t>Zhvillimi i seancave informuese mbi cështjet që mund të zgjidhen me ndërmjetësim dhe të drejtat e paleve në proces</t>
  </si>
  <si>
    <t>Sesione informuese dhe përgatitja e broshurave mbi kuadrin ligjor mbi “Ndërmjetësimin”</t>
  </si>
  <si>
    <t>5.1.11 Informimi I publikut mbi ndihmën juridike të garantuar nga shteti</t>
  </si>
  <si>
    <t>Hartimi dhe publikimi i materialeve informuese mbi ndihmën juridike të garantuar nga shteti, online dhe i printuar</t>
  </si>
  <si>
    <t>Realizimi i sesioneve informuese në të gjitha bashkitë për t’u njohur me NJF</t>
  </si>
  <si>
    <t>Sesione të vecanta me grupet vulnerabël ( gratë, të miturit, personat me aftësi të kufizuar, viktimat e dhunës, të miturit etj)</t>
  </si>
  <si>
    <t xml:space="preserve">Përgatitja dhe publikimi i videos së animuar dhe me zë “Ndihma juridike falas - kush dhe si e përfiton?”. </t>
  </si>
  <si>
    <t>Përgatitja dhe miratimi i kalendarit te punes per rritjen e informimit dhe ndergjegjesimit te subjekteve te ligjit dhe zbatimi i kalendarit"</t>
  </si>
  <si>
    <t>Realizimi i intervistave televizive në televisionet kombëtare dhe lokale mbi NJF, subjektet përfituese, procedurat e aplikimit)</t>
  </si>
  <si>
    <t>5.1.13</t>
  </si>
  <si>
    <t>5.1.12.1</t>
  </si>
  <si>
    <t>5.1.12.2</t>
  </si>
  <si>
    <t>5.1.12.3</t>
  </si>
  <si>
    <t>Kosto Objektivi specifik 5.1</t>
  </si>
  <si>
    <t xml:space="preserve">5.1.12 Planifikimi dhe organizimi i aktiviteteve informuese dhe promovuese në Javën e Drejtësisë </t>
  </si>
  <si>
    <t>Hartimi i planit të aktiviteteve nga institucionet e drejtësisë në Javën e Drejtësisë</t>
  </si>
  <si>
    <t>Kryerja e aktiviteteve ndërgjësuese në kuadër të javës së Drejtësisë</t>
  </si>
  <si>
    <t>Planifikimi dhe organizimi i takimeve informuese në shkolla</t>
  </si>
  <si>
    <t xml:space="preserve">KLGJ, KLP, ILD, Gjykatat, </t>
  </si>
  <si>
    <t>KLGJ, KLP, ILD, Gjykatat</t>
  </si>
  <si>
    <t>5.1.13 Planifikimi dhe organizimi i takimeve në ditë të vecanta për sistemin e Drejtësisë dhe të drejtave të njeriut ( Dita e Drejtësisë, Dita e të Drejtave të Njeriut)</t>
  </si>
  <si>
    <t>Organizimi i ditëve të hapura, vizitave në gjykata dhe leksioneve publike nga profesionistët ligjorë për të rritur informimin e publikut mbi sistemin e drejtësisë dhe forcuar besimin publik.</t>
  </si>
  <si>
    <t>Organizimi i aktiviteteve informuese dhe edukative me rastin e ditës së të drejtave të Njeriut / Drejtësisë</t>
  </si>
  <si>
    <t>Ditë të hapura me nxënësit e shkollave të mesme në Gjykatën Kushtetuese për të mësuar më shumë rreth rolit, kompetencave të saj në mbrojtje të të drejtave dhe lirive kushtetuese të individit</t>
  </si>
  <si>
    <t>KLGJ, ILD, Gjykatat</t>
  </si>
  <si>
    <t>5.1.13.1</t>
  </si>
  <si>
    <t>5.1.13.2</t>
  </si>
  <si>
    <t>5.1.13.3</t>
  </si>
  <si>
    <t>Kosto Objektivi specifik 5.2</t>
  </si>
  <si>
    <t xml:space="preserve">Objektivi specifik 5.2: Forcimi i bashkëpunimit efektiv të institucioneve të sistemit të drejtësisë për realizimin e ELP dhe rritja e aksesit të qytetarëve në informacionin mbi kuadrin ligjor dhe sistemin e drejtësisë  </t>
  </si>
  <si>
    <t>5.2.1</t>
  </si>
  <si>
    <t>5.2.1.1</t>
  </si>
  <si>
    <t>5.2.1.2</t>
  </si>
  <si>
    <t>5.2.1.3</t>
  </si>
  <si>
    <t>5.2.1.4</t>
  </si>
  <si>
    <t>Kosto totale Qëllimi i Politikës V (objektiva specifike 5.1+5.2+5.3)</t>
  </si>
  <si>
    <t>5.2.5.1</t>
  </si>
  <si>
    <t>5.2.5.2</t>
  </si>
  <si>
    <t>5.2.5.3</t>
  </si>
  <si>
    <t>5.2.5.4</t>
  </si>
  <si>
    <t>5.2.5</t>
  </si>
  <si>
    <t>5.2.7</t>
  </si>
  <si>
    <t>5.2.7.1</t>
  </si>
  <si>
    <t>5.2.7.2</t>
  </si>
  <si>
    <t>5.2.7.3</t>
  </si>
  <si>
    <t>5.2.6</t>
  </si>
  <si>
    <t>5.2.6.1</t>
  </si>
  <si>
    <t>5.2.6.2</t>
  </si>
  <si>
    <t>5.2.6.3</t>
  </si>
  <si>
    <t>5.2.4</t>
  </si>
  <si>
    <t>5.2.4.1</t>
  </si>
  <si>
    <t>5.2.4.2</t>
  </si>
  <si>
    <t>5.2.4.3</t>
  </si>
  <si>
    <t>5.2.3</t>
  </si>
  <si>
    <t>5.2.3.1</t>
  </si>
  <si>
    <t>5.2.3.2</t>
  </si>
  <si>
    <t>5.2.3.3</t>
  </si>
  <si>
    <t>5.2.2.1</t>
  </si>
  <si>
    <t>5.2.2.2</t>
  </si>
  <si>
    <t>5.2.2.3</t>
  </si>
  <si>
    <t>5.2.2.4</t>
  </si>
  <si>
    <t>5.2.2.5</t>
  </si>
  <si>
    <t>5.2.2</t>
  </si>
  <si>
    <t>Zhvillimi i fushatave të përbashkëta të institucioneve të drejtësisë mbi ELP</t>
  </si>
  <si>
    <t xml:space="preserve">Organizimi i takimeve të përbashkëta me institucionet e sistemit të drejtësisë për të organizuar një plan të përbashkët aktivitetesh  </t>
  </si>
  <si>
    <t xml:space="preserve">Planifikimi dhe organizimi i një fushate kombëtare mbi edukimin ligjor të publikut mbi sistemin e drejtësisë me pjesëmarrjen e përfaqësuesve të ndryshëm të institucioneve të drejtësisë. </t>
  </si>
  <si>
    <t xml:space="preserve">Kryerja e aktiviteteve të përbashkëta  ndërgjegjësuese në nivel kombëtar e lokal duke përdorur platforma të ndryshme mediatike (media sociale, televizion, radio, print) për të shpërndarë informacion mbi të drejtat ligjore dhe sistemin e drejtësisë. </t>
  </si>
  <si>
    <t>Organizimi i tskimeve dhe seminareve të përbashkëta në shkolla, universitete, qendra komunitare dhe biblioteka publike, me pjesëmarrjen e përfaqësuesve nga institucionet e ndryshme të sistemit të drejtësisë.</t>
  </si>
  <si>
    <t>KLGJ, GJL, GJK, SPAK,BKH,  ILD</t>
  </si>
  <si>
    <t xml:space="preserve">
-          Zhvillimi i aktiviteteve ndërgjegjësuese me prokuroritë e juridiksionit të përgjithshëm, Prokurorisë së Përgjithshme dhe Strukturës së Posaçme kundër Korrupsionit dhe Krimit të Organizuar (SPAK) në kuadër të detyrimeve të parashikuara në marrëveshjen me Eurojust;
</t>
  </si>
  <si>
    <t xml:space="preserve"> Zhvillimi i aktiviteteve ndërgjegjësuese me organet ligjzbatuese me qëllim prezantimin e tyre me risitë që sjell Direktiva e Policisë, si pjesë integrale e ligjit për mbrojtjen e të dhënave personale si dhe detyrimeve të parashikuara në marrëveshjen me Eurojust;</t>
  </si>
  <si>
    <t xml:space="preserve"> Zhvillimi i aktiviteteve ndërgjegjësuese mbi zbatimin dhe respektimin e legjislacionit për mbrojtjen e të dhënave personale në kuadër të përpunimit të të dhënave të pasagjerëve PNR/API;
</t>
  </si>
  <si>
    <t>Organizimi i aktiviteteve ndërgjegjësuese për qytetarët/administratën publike me qëllim përmbushjen e të drejtës për t’u njohur me informacion publik, nëpërmjet zbatimit të legjislacionit për të drejtën e informimit;</t>
  </si>
  <si>
    <t>Organizimi i takimeve/leksioneve të hapura me studentët e Fakultetit të Drejtësisë për t’u njohur me rolin dhe veprimtarinë e Zyrës së Komisionerit.</t>
  </si>
  <si>
    <t>KDIMDP</t>
  </si>
  <si>
    <t>5.2.3 Koordinimi dhe zhvillimi i aktivitete te perpashketa te institucioneve te drejtesise me OSHC-të dhe grupet e interesit me qëllim forcimin e bashkëpunimit për rritjen e informimit të qytetarëve mbi sistemin e drejtësisë</t>
  </si>
  <si>
    <t>5.2.2 “Fushata ndërgjegjësuese dhe edukuese për publikun mbi legjislacionin për të drejtën e informimit dhe mbrojtjen e te dhënave personale”.</t>
  </si>
  <si>
    <t>Mbajtja e një tryeze diskutimi me OSHC-të dhe grupet e interesit;</t>
  </si>
  <si>
    <t>Bashkëpunimi ndërmjet KLGJ/Gjykata me OSHC dhe grupet e tjera të interesit për përgatitjen e materialeve të tjera informuese.</t>
  </si>
  <si>
    <t>Zhvillimi i aktiviteteve informuese me qytetarë, grupe në nevojë, nxënës/të rinj, gra/vajza, etj. të organizuara në bashkëpunim me OSHC-të mbi tematika me interes për publikun (psh: ndihma juridike e garantuar nga shteti, tarifat gjyqësore, dhuna në familje, urdhrat e mbrojtjes, çështje të pronësisë, drejtësia penale për të mitur, etj.)</t>
  </si>
  <si>
    <t>KLGJ, ILD</t>
  </si>
  <si>
    <t>Gjykatat, MD</t>
  </si>
  <si>
    <t>KLGJ, GJykatat, ILD</t>
  </si>
  <si>
    <t>5.2.4 Forcimi i bashkëpunimit me Fakultetet e Drejtësisë për ofrimin e ELP</t>
  </si>
  <si>
    <t>Zhvillimi i aktiviteteve informuese dhe ndërgjegjësuese me studentë të Fakulteteve të Drejtësisë (gjyqe imituese) që trajtojnë tematika me interes për qytetarët</t>
  </si>
  <si>
    <t>Zhvillimi i leksioneve të hapura në Fakultetet e Drejtësisë</t>
  </si>
  <si>
    <t>Organizimi i takimeve me studentët e Fakuktetit të Drejtësië për t’u njohur me rolin dhe veprimtarinë e ILD</t>
  </si>
  <si>
    <t>KLGJ, ILD, FD</t>
  </si>
  <si>
    <t>MD, KLGJ, ILD</t>
  </si>
  <si>
    <t>FD</t>
  </si>
  <si>
    <t>5.2.5  Rritja e Bashkëpunimit me Median për të Promovuar Ndërgjegjësimin Ligjor mbi sistemin e drejtesise</t>
  </si>
  <si>
    <t>KLGJ, GJK, PP,GJK,SHM</t>
  </si>
  <si>
    <t>MD, KLGJ, PP</t>
  </si>
  <si>
    <t>UT/FHF</t>
  </si>
  <si>
    <t>- Zhvillimi i takimeve me gazetarët që mbulojnë fushën e drejtësisë;</t>
  </si>
  <si>
    <t>-Zhvillimi i forumeve me gazetarët që mbulojnë fushën e drejtësisë</t>
  </si>
  <si>
    <t>Zhvillimi i tryezave periodike të Gjykatës Kushtetuese me përfaqësuesit e medias që synojnë rritjen e aksesit në drejtësinë kushtetuese, si dhe respektimin e së drejtës së informimit</t>
  </si>
  <si>
    <t>Zhvillimi i leksioneve të hapura në Fakultetet e Gazetarisë.</t>
  </si>
  <si>
    <t xml:space="preserve">5.2.6 Forcimi i kapaciteteve të punonjësve të institucioneve publike (nivel qendror e vendor) lidhur me zbatimin e ELP </t>
  </si>
  <si>
    <t>Kryerja e vlerësimit të nevojave për trajnim të punonjësve të institucioneve publike</t>
  </si>
  <si>
    <t>Hartimi dhe rishikimi i moduleve të trajnimit për ELP për punonjësit e institucioneve publike në nivel qendror dhe vendor</t>
  </si>
  <si>
    <t>Zhvillimi i trajnimeve të përvitshme për përditësimin e njohurive të legjislacionit të ndryshuar</t>
  </si>
  <si>
    <t>5.2.7 Forcimi i Komunikimit dhe Transparencës për të Rritur Mirëkuptimin dhe Besimin e Publikut në Reformën në Drejtësi dhe sistemin e drejtësisë</t>
  </si>
  <si>
    <t>Hartimi dhe zbatimi i planeve të komunikimit dhe transparencës nga KLGJ, KLP, Gj.K SPAK dhe MD, për të zhvilluar më tej mirëkuptimin dhe rritjen e besimit të publikut në reformën në drejtësi dhe kuadrin dhe vendimmarrjen institucionale</t>
  </si>
  <si>
    <t>Rishikimi dhe përditësimi i Planeve të Komunikimit dhe te trasparencestë miratuara</t>
  </si>
  <si>
    <t>Mbajtja/ruajtja e një komunikimi dhe transparence të vazhdueshme, përfshirë mbajtjen e qytetarëve të mirëinformuar mbi zhvillimet në shërbimet e drejtësisë për reformën në drejtësi</t>
  </si>
  <si>
    <t>KLGJ,KLP, GJK, SPAK, MD</t>
  </si>
  <si>
    <t>KLGJ, KLP, GJK, MD</t>
  </si>
  <si>
    <t>MD,KLGJ, KLP, GJK, SPAK,</t>
  </si>
  <si>
    <t>Kosto Objektivi specifik 5.3</t>
  </si>
  <si>
    <t>5.3.1</t>
  </si>
  <si>
    <t>5.3.2</t>
  </si>
  <si>
    <t>5.3.1.1</t>
  </si>
  <si>
    <t>5.3.1.2</t>
  </si>
  <si>
    <t>5.3.1.3</t>
  </si>
  <si>
    <t>5.3.1.4</t>
  </si>
  <si>
    <t>5.3.3</t>
  </si>
  <si>
    <t>5.3.4.1</t>
  </si>
  <si>
    <t>5.3.4.2</t>
  </si>
  <si>
    <t>5.3.4.3</t>
  </si>
  <si>
    <t xml:space="preserve">5.3.1 Rritja e njohurive dhe kuptueshmërisë së publikut mbi proceset e integrimit evropian përmes iniciativave të edukimit ligjor të publikut  </t>
  </si>
  <si>
    <t>Organizimi i fushatave të ndërgjegjësimit përmes televizionit, radios dhe rrjeteve sociale për të informuar publikun mbi proceset dhe përfitimet e integrimit evropian. (MD/ DEN)</t>
  </si>
  <si>
    <t>Hartimi dhe shpërndarja e broshurave informative në vendet publike, si p.sh., shkolla, qendra komunitare dhe zyrat qeveritare.</t>
  </si>
  <si>
    <t>Organizimi i seminareve, konferencave dhe takimeve publike në nivel qendror dhe lokal për të shpjeguar ndryshimet ligjore dhe ndikimin e tyre në jetën e përditshme të qytetarëve.</t>
  </si>
  <si>
    <t>5.3.2 Integrimi i njohurive mbi ligjet dhe politikat e Bashkimit Evropian në kurrikulat kombëtare të arsimit</t>
  </si>
  <si>
    <t>Rishikimi i kurrikulave universitare për t’u përshtatur me kuadrin ligjor dhe procesin e integrimit evropian</t>
  </si>
  <si>
    <t>Rishikimi i kurrikulave të arsimit parauniversitar me qëllim përfshirjen  në të informacion të thjeshtëzuar mbi procesin e integrimit evropian dhe Bashkimin Evropian</t>
  </si>
  <si>
    <t>Organizimi i konkurseve të eseve dhe debateve mbi temat e integrimit evropian për nxënësit dhe studentët.</t>
  </si>
  <si>
    <t>MAS</t>
  </si>
  <si>
    <t>IAL</t>
  </si>
  <si>
    <t>5.3.3.1</t>
  </si>
  <si>
    <t>5.3.3.2</t>
  </si>
  <si>
    <t>5.3.3  Organizimi i aktiviteteve informuese në Ditën e Europës</t>
  </si>
  <si>
    <t>Organizimi i aktiviteteve informuese mbi procesin e integrimit evropian dhe anëtarësimin</t>
  </si>
  <si>
    <t>Përgatitja dhe shpërndarja e broshurave informuese mbi procesin e integrimit dhe anëtarësimit</t>
  </si>
  <si>
    <t>5.3.4 Aktivitete informuese dhe zhvillimi i programeve edukative mbi integrimin evropian në shkollat 9- vjeçare dhe të mesme</t>
  </si>
  <si>
    <t>Përgatitja dhe botimi i materialeve ndërgjegjësuese dhe edukuese për nxënësit e shkollave 9 vjecare dhe të mesme</t>
  </si>
  <si>
    <t>Organizimi i takimeve informuese në shkolla 9 vjecare dhe të mesme lidhur me procesin e integrimit evropian</t>
  </si>
  <si>
    <t xml:space="preserve">Shpërndarja e broshurave informuese </t>
  </si>
  <si>
    <t>Kosto totale Qëllimi i PolitikësI+II+III+ IV+V</t>
  </si>
  <si>
    <t>4.2.3.2</t>
  </si>
  <si>
    <t>4.2.4</t>
  </si>
  <si>
    <t>4.2.4.1</t>
  </si>
  <si>
    <t>4.2.4.2</t>
  </si>
  <si>
    <t>4.2.4.3</t>
  </si>
  <si>
    <t>4.2.4.4</t>
  </si>
  <si>
    <t>4.2.4.5</t>
  </si>
  <si>
    <t>4.2.5</t>
  </si>
  <si>
    <t>4.2.5.1</t>
  </si>
  <si>
    <t>Objektivi specifik 4.2: Përmirësimi i performancës së magjistratëve në gjykata dhe prokurori</t>
  </si>
  <si>
    <t>4.2.1 Këshillat përparojnë me miratimin e akteve nënligjore të mbetura për vlerësimin e performancës.</t>
  </si>
  <si>
    <t>Analiza e hartëzimit të akteve nënligjore të kërkuara nga ligji në lidhje me vlerësimin e performancës</t>
  </si>
  <si>
    <t xml:space="preserve">Hartimi dhe miratimi i akteve nënligjore të parashikuara me ligj për vlerësimin e performancës. </t>
  </si>
  <si>
    <t>4.2.2  Këshillat rishikojnë metodologjinë e tyre për vlerësimin e performancës për të arritur një balancë më të madhe ndërmjet kritereve cilësore dhe sasiore, si dhe rritje të transparencës së procesit dhe zbatim të metodologjisë.</t>
  </si>
  <si>
    <t xml:space="preserve">Rishikimi i metodologjisë ose pjesëve të saj për të siguruar një ekuilibër më të madh midis kritereve sasiore dhe cilësore dhe për të rritur transparencën e procesit të vlerësimit të performancës </t>
  </si>
  <si>
    <t>Analiza e nevojave për trajnim dhe plani i ngritjes së kapaciteteve të anëtarëve dhe stafit lidhur me vlerësimin e performancës së magjistratëve.</t>
  </si>
  <si>
    <t>Zbatimi i planit të ngritjes së kapaciteteve bazuar në analizën e nevojave.</t>
  </si>
  <si>
    <t>4.2.3  Performanca e gjykatave dhe prokurorive rritet nëpërmjet miratimit të Rregullave të Brendshme për cilësinë e drejtësisë.</t>
  </si>
  <si>
    <t>Miratimi i Rregullores së Brendshme për cilësinë e drejtësisë për gjykatat dhe prokuroritë</t>
  </si>
  <si>
    <t xml:space="preserve">Raport mbi monitorimin e zbatimit të Rregullores së Brendshme </t>
  </si>
  <si>
    <t>Gjykatat, Prokuroritë</t>
  </si>
  <si>
    <t xml:space="preserve">4.2.4 Performanca e gjykatave dhe prokurorive rritet nëpërmjet zbatimit të rekomandimeve të inspektimeve të rregullta tematike të synuara nga Inspektori i Lartë i Drejtësisë.  </t>
  </si>
  <si>
    <t xml:space="preserve">Propozime të përvitshme të Këshillave, SHM dhe PP lidhur me inspektimet tematike dhe institucionale. 
</t>
  </si>
  <si>
    <t>Miratimi i Planit Vjetor të Inspektimeve për ILD</t>
  </si>
  <si>
    <t xml:space="preserve">Raport mbi inspektimet tematike të performancës së gjykatave dhe prokurorive   </t>
  </si>
  <si>
    <t xml:space="preserve">Monitorimi i zbatimit të rekomandimeve të inspektimeve tematike dhe institucionale nga ILD me qëllim ndjekjen e tyre sistematike. </t>
  </si>
  <si>
    <t xml:space="preserve">Publikimi i rregullt i zbatueshmerise se gjetjeve te inspektimeve tematike dhe institucionale </t>
  </si>
  <si>
    <t>PP, KLP, KLGJ, SHM</t>
  </si>
  <si>
    <t xml:space="preserve"> KLP, KLGJ</t>
  </si>
  <si>
    <t>PP, KLP, KLGJ</t>
  </si>
  <si>
    <t>PP, KLP, KLGJ, SHM, ILD</t>
  </si>
  <si>
    <t>4.2.5  Performanca e gjykatave përmirësohet nëpërmjet anketave të përmbushjes së pritshmërive të përdoruesve të gjykatave të kryera nga KLGJ-ja/gjykatat</t>
  </si>
  <si>
    <t xml:space="preserve">Hartimi dhe zbatimi i anketave të rregullta mbi përmbushjen e pritshmërive të përdoruesve </t>
  </si>
  <si>
    <t>2025; 2027; 2029</t>
  </si>
  <si>
    <t>4.3.1</t>
  </si>
  <si>
    <t>4.3.1 SHM rishikon Rregulloren e saj të Brendshme për të siguruar që provimi i pranimit pasqyron standardet më të mira të BE-së dhe shkollave homologe të trajnimit gjyqësor dhe siguron që konkurrentët të vlerësohen mbi bazën e aftësisë dhe jo vetëm mbi bazën e njohurive mbi ligjin.</t>
  </si>
  <si>
    <t>4.3.1.1</t>
  </si>
  <si>
    <t>4.3.1.2</t>
  </si>
  <si>
    <t>4.3.1.3</t>
  </si>
  <si>
    <t>4.3.2</t>
  </si>
  <si>
    <t xml:space="preserve">Organizimi i takimeve me konkurrentët për të dhënë udhëzime në lidhje me provimin e pranimit. </t>
  </si>
  <si>
    <t xml:space="preserve">Përgatitja e analizës mbi gjetjet konkrete dhe propozimet për ndryshime në provimin pranues </t>
  </si>
  <si>
    <t xml:space="preserve">Diskutimi dhe miratimi i ndryshimeve në Këshillin Drejtues .  </t>
  </si>
  <si>
    <t>ShM-ja siguron staf dhe burime të përshtatshme në bazë të analizave dhe rishikimit dhe parashikimit të nevojave për burime njerëzore dhe akademike.</t>
  </si>
  <si>
    <t>4.3.2.1</t>
  </si>
  <si>
    <t>4.3.2.2</t>
  </si>
  <si>
    <t>4.3.2.3</t>
  </si>
  <si>
    <t>4.3.2.4</t>
  </si>
  <si>
    <t>4.3.2.5</t>
  </si>
  <si>
    <t xml:space="preserve">Shkolla ndermerr ne menyre periodike nje proces promovues/informues te mundesive per angazhim ne PFF dhe PFV . </t>
  </si>
  <si>
    <r>
      <t xml:space="preserve">Përgatitja e analizës dhe parashikimit të vendeve vakante apo të vendeve të reja të punës për rekrutimin e stafit akademik dhe administrativ në dy faza: faza e parë deri në qershor 2025; faza e dytë deri në qershor </t>
    </r>
    <r>
      <rPr>
        <b/>
        <sz val="10"/>
        <color theme="1"/>
        <rFont val="Times New Roman"/>
        <family val="1"/>
      </rPr>
      <t>2028</t>
    </r>
    <r>
      <rPr>
        <sz val="10"/>
        <color theme="1"/>
        <rFont val="Times New Roman"/>
        <family val="1"/>
      </rPr>
      <t>;</t>
    </r>
  </si>
  <si>
    <r>
      <t xml:space="preserve">Miratimi i strukturës organizative dhe shpallja e vendeve vakante në dy faza: faza e parë deri në dhjetor 2025; faza e dytë deri në dhjetor </t>
    </r>
    <r>
      <rPr>
        <b/>
        <sz val="10"/>
        <color theme="1"/>
        <rFont val="Times New Roman"/>
        <family val="1"/>
      </rPr>
      <t>2028</t>
    </r>
  </si>
  <si>
    <r>
      <t xml:space="preserve">Zbatimi i procedurave të rekrutimit në dy faza: faza e parë deri në dhjetor 2025; faza e dytë deri në dhjetor </t>
    </r>
    <r>
      <rPr>
        <b/>
        <sz val="10"/>
        <color theme="1"/>
        <rFont val="Times New Roman"/>
        <family val="1"/>
      </rPr>
      <t>2028</t>
    </r>
    <r>
      <rPr>
        <sz val="10"/>
        <color theme="1"/>
        <rFont val="Times New Roman"/>
        <family val="1"/>
      </rPr>
      <t>.</t>
    </r>
  </si>
  <si>
    <r>
      <t>Trajnimi i stafit administrativ nëpërmjet programeve të trajnimit të ofruara nga ASPA ose nga vetë Shkolla</t>
    </r>
    <r>
      <rPr>
        <b/>
        <sz val="10"/>
        <color theme="1"/>
        <rFont val="Times New Roman"/>
        <family val="1"/>
      </rPr>
      <t>.</t>
    </r>
  </si>
  <si>
    <t>4.3.3</t>
  </si>
  <si>
    <t>4.3.3.1</t>
  </si>
  <si>
    <t>4.3.3.2</t>
  </si>
  <si>
    <t>4.3.3 Perforcimi i programit dhe përmirësimi i mentorëve nga SHM-ja/gjykatat.</t>
  </si>
  <si>
    <t xml:space="preserve">Shqyrtimi i udhëzimeve për mentorim dhe vlerësim të praktikës profesionale </t>
  </si>
  <si>
    <t>Trajnimi i mentorëve të emëruar nga KLGJ-ja dhe KLP-ja</t>
  </si>
  <si>
    <t>4.3.4</t>
  </si>
  <si>
    <t>4.3.4.1</t>
  </si>
  <si>
    <t>4.3.4.2</t>
  </si>
  <si>
    <t>4.3.4 Rishikimi i kurrikulës së formimit fillestar, miratimi dhe zbatimi i saj nga viti akademik.</t>
  </si>
  <si>
    <t>SHM-ja rishikon kurrikulat e saj çdo vit dhe analizon nevojën për module të reja .</t>
  </si>
  <si>
    <t>SHM-ja harton module të reja bazuar në analizën e nevojave.</t>
  </si>
  <si>
    <t>4.3.5</t>
  </si>
  <si>
    <t>4.3.5.1</t>
  </si>
  <si>
    <t>4.3.5.2</t>
  </si>
  <si>
    <t>4.3.5.3</t>
  </si>
  <si>
    <t>4.3.5.4</t>
  </si>
  <si>
    <t>4.3.5.5</t>
  </si>
  <si>
    <t>4.3.5.6</t>
  </si>
  <si>
    <t>4.3.5 Programi i pasuruar dhe i përmirësuar i formimit të vazhduar, i synuar për nevojat e identifikuara dhe specializimin e gjyqtarëve dhe prokurorëve për magjistratët në detyrë</t>
  </si>
  <si>
    <t>Analiza e nevojave për trajnim realizohet në bashkëpunim të ngushtë dhe në baza periodike ndërmjet SHM, KLGJ, KLP, këshillat e gjykatave, dhe organet e tjera të përfshira në analizën e nevojave për trajnim.</t>
  </si>
  <si>
    <t xml:space="preserve">SHM harton dhe miraton module per tema specifike duke perfshire praktikat mbi hetimin dhe denimin kunder korrupsionit, hetimin financiar per korrupsionin, ceshtjet e te drejtave themelore, lirine e shprehjes dhe medias (perfshire SLAPP) si dhe ceshtjet lidhur me diskriminimin </t>
  </si>
  <si>
    <t xml:space="preserve">Krijohen module për magjistratët që kanë përvojë në detyrë deri në 5 vjet </t>
  </si>
  <si>
    <t>SHM siguron ekspertizen dhe realizon aktivitete trajnuese per temat specifike.</t>
  </si>
  <si>
    <t>SHM realizon trajnime trajnerësh për të garantuar që metodologjia e trajnimit është e unifikuar</t>
  </si>
  <si>
    <t xml:space="preserve">SHM vlereson ecurine e aktiviteteve trajnuese permes mekanzimave te vleresimit qe ka ne dispozicion </t>
  </si>
  <si>
    <t>SHM, KLGJ, KLP,SPAK,BKH, PP</t>
  </si>
  <si>
    <t>KLGJ, KLP,SPAK,BKH, PP</t>
  </si>
  <si>
    <t>4.3.6</t>
  </si>
  <si>
    <t>4.3.6.1</t>
  </si>
  <si>
    <t>4.3.7</t>
  </si>
  <si>
    <t>4.3.7.1</t>
  </si>
  <si>
    <t>4.3.7.2</t>
  </si>
  <si>
    <t>4.3.8</t>
  </si>
  <si>
    <t>4.3.8.1</t>
  </si>
  <si>
    <t>4.3.8.2</t>
  </si>
  <si>
    <t>4.3.8.3</t>
  </si>
  <si>
    <t>4.3.8.4</t>
  </si>
  <si>
    <t>Kosto Objektivi specifik 4.3</t>
  </si>
  <si>
    <t>Kosto totale Qëllimi i Politikës IV (objektiva specifike 4.1+4.2+4.3+4.4)</t>
  </si>
  <si>
    <t>4.3.6 Kryerja e analizës së përputhshmërisë së metodologjisë për vlerësimin e trajnerëve me standardet evropiane.</t>
  </si>
  <si>
    <t>SHM ngre një grup pune për analizimin e metodologjisë së vlerësimit të trajnerëve</t>
  </si>
  <si>
    <t>4.3.7  Përgatitja e metodologjisë së re për vlerësimin e trajnerëve bazuar në rezultatet e analizës së përputhshmërisë</t>
  </si>
  <si>
    <t xml:space="preserve">SHM harton dhe miraton ndryshimet e nevojshme dhe i bën pjesë të Rregullores së Brendshme. </t>
  </si>
  <si>
    <t>SHM publikon në faqen zyrtare metodologjinë e vlerësimit.</t>
  </si>
  <si>
    <t>4.3.8 Shkolla është e angazhuar në veprimtari studimi dhe kërkimi në fusha prioritare të së drejtës dhe nxjerr produkte shkencore dhe informuese në funksion të aktorëve të sistemit të drejtësisë</t>
  </si>
  <si>
    <t xml:space="preserve">SHM publikon në mënyrë periodike buletinet e trajnimeve vazhduese;  </t>
  </si>
  <si>
    <t xml:space="preserve"> SHM boton revistën "Magjistrati" dhe revistën "Jeta Juridike" cdo vit akademik;</t>
  </si>
  <si>
    <t>SHM harton një plan botimi sipas rregullave të parashikuara në Rregulloren e Brendshme të ShM;</t>
  </si>
  <si>
    <t>SHM nxit ecurinë e veprimtarive studimore përmes kontakteve të vazhdueshme me magjistratët, pedagogët, kandidatët për magjistratë dhe aktorë të tjerë të sistemit.</t>
  </si>
  <si>
    <t>4.4.1</t>
  </si>
  <si>
    <t>4.4.1.1</t>
  </si>
  <si>
    <t>4.4.1.2</t>
  </si>
  <si>
    <t>4.4.1.3</t>
  </si>
  <si>
    <t>4.4.1.4</t>
  </si>
  <si>
    <t>4.4.2</t>
  </si>
  <si>
    <t>4.4.2.1</t>
  </si>
  <si>
    <t>4.4.2.2</t>
  </si>
  <si>
    <t>4.4.2.3</t>
  </si>
  <si>
    <t>4.4.2.4</t>
  </si>
  <si>
    <t>4.4.3</t>
  </si>
  <si>
    <t>4.4.3.1</t>
  </si>
  <si>
    <t>Objektivi specifik 4.4: Sigurimi i aksesit në vendimet e gjykatave dhe qëndrueshmërisë së praktikave gjyqësore me qëllim përmirësimin e cilësisë së arsyetimit të vendimeve</t>
  </si>
  <si>
    <t>4.4.1 Gjykata Kushtetetuese përmirëson aksesin në praktikën e saj gjyqësore</t>
  </si>
  <si>
    <t xml:space="preserve">Ri-dizenjmi i faqes zyrtare të internetit me qëllim lehtësimin e aksesit në praktikën gjyqësore të Gjykatës Kushtetuese </t>
  </si>
  <si>
    <t>Prezantimi dhe komunikimi i ri-dizenjimit të faqes zyrtare të internetit tek publiku</t>
  </si>
  <si>
    <t xml:space="preserve">Përgatitja dhe botimi i udhërrëfyesit të parë të jurisprudencës së Gjykatës Kushtetuese (i ngjashëm me modelet e udhërrëfyesve të GJEDNJ-së), i cili përmban standardet dhe precedentët në jurisprudencën e Gjykatës, në funksion të ruajtjes së koherencës dhe sigurisë ligjore. </t>
  </si>
  <si>
    <t xml:space="preserve">Përgatitja dhe botimi i buletinit periodik të vendimmarrjes së Gjykatës Kushtetuese, i cili përmban përmbledhje të vendimeve përfundimtare të Gjykatës në gjuhën shqipe dhe angleze. </t>
  </si>
  <si>
    <t xml:space="preserve">4.4.2 KLGJ-ja siguron publikimin dhe përmirëson kërkueshmërinë e vendimeve gjyqësore, veçanërisht të Gjykatës së Lartë. </t>
  </si>
  <si>
    <t xml:space="preserve">Analizë mbi gjendjen aktuale të publikimit dhe kërkueshmërisë së vendimeve të gjykatave  duke përfshirë rekomandimet për krijimin e mjeteve të kërkimit të TI-së; </t>
  </si>
  <si>
    <t xml:space="preserve">Raport mbi zbatimin e rezultateve të analizës. </t>
  </si>
  <si>
    <t>Ri-dizenjimi i faqes zyrtare web të Gjykatës së Lartë me qëllim përmirësimin e kërkueshmërisë së vendimeve të Gjykatës së Lartë</t>
  </si>
  <si>
    <t xml:space="preserve">Publikimi i vazhdueshëm i të gjithë vendimeve të Gjykatës së Lartë </t>
  </si>
  <si>
    <t>KLGJ, GJL</t>
  </si>
  <si>
    <t>4.4.3 SHM-ja ofron trajnime për hulumtimin dhe analizën e çështjeve gjyqësore.</t>
  </si>
  <si>
    <t>Hartimi dhe zbatimi i një moduli të veçantë për metodat e kërkimit dhe analizën e çështjeve gjyqësore i fokusuar për ndihmësit dhe këshilltarët ligjorë</t>
  </si>
  <si>
    <t>4.4.4</t>
  </si>
  <si>
    <t>4..4.4.1</t>
  </si>
  <si>
    <t>4.4.5</t>
  </si>
  <si>
    <t>4.4.5.1</t>
  </si>
  <si>
    <t>4.4.6</t>
  </si>
  <si>
    <t>4.4.6.1</t>
  </si>
  <si>
    <t>4.4.4 GJL-ja vazhdon të unifikojë vendimet e gjykatave dhe si rrjedhojë praktika gjyqësore përmirësohet më tej</t>
  </si>
  <si>
    <t xml:space="preserve">Publikimi  i Buletinit Informativ Periodik në faqen zyrtare të internetit të Gjykatës së Lartë sipas tematikave </t>
  </si>
  <si>
    <t>4.4.5 Vlerësimi i gjyqtarëve dhe prokurorëve nga KLGJ-ja dhe KLP-ja, përfshin, ndër të tjera, standardet e arsyetimit të vendimeve gjyqësore.</t>
  </si>
  <si>
    <t>Hartimi i modeleve të raporteve analitike dhe atyre të vlerësimit etik dhe profesional, duke respektuar strukturën dhe arsyetimin e vendimeve të gjykatave më të larta në raste analoge</t>
  </si>
  <si>
    <t>4.4.6 Sigurohet monitorim dhe vlerësim transparent i aktiviteteve të gjykatës.</t>
  </si>
  <si>
    <t>Vendimet e gjykatave të jenë të disponueshme për publikun dhe lehtësisht të aksesueshme</t>
  </si>
  <si>
    <t>Kosto Objektivi specifik 4.4</t>
  </si>
  <si>
    <t>Objektivi specifik 1: - Përditësimi i legjislacionit të reformës në drejtësi në përputhje me parimet e pavarësisë, llogaridhënies, efikasitetit, cilësisë dhe sigurimi i harmonizimit të legjislacionit shqiptar me acquis të BE-së.</t>
  </si>
  <si>
    <t>Objektivi specifik 1.2: Përfundimi i procesit të rivlerësimit kalimtar (vetting-ut) brenda afateve kushtetuese dhe vendosja e mekanizmave për të siguruar qëndrueshmërinë e këtij procesi</t>
  </si>
  <si>
    <t>Objektivi specifik 1.3: Ruajtja dhe zhvillimi i mëtejshëm i kapacitetit profesional, pavarësisë dhe efikasitetit të organeve të qeverisjes së drejtësisë</t>
  </si>
  <si>
    <t>OS. 1.3. -  Forcimi i bashkëpunimit ndërinstitucional dhe përmirësimi thelbësor i komunikimit publik</t>
  </si>
  <si>
    <t>Objektivi specifik 1.4:  Forcimi i bashkëpunimit ndërinstitucional dhe përmirësimi thelbësor i komunikimit publik</t>
  </si>
  <si>
    <r>
      <rPr>
        <b/>
        <sz val="12"/>
        <color indexed="10"/>
        <rFont val="Times New Roman"/>
        <family val="1"/>
      </rPr>
      <t xml:space="preserve">Kosto totale Qëllimi i Politikës I </t>
    </r>
    <r>
      <rPr>
        <sz val="12"/>
        <color theme="1"/>
        <rFont val="Times New Roman"/>
        <family val="1"/>
      </rPr>
      <t xml:space="preserve">
(objektiva specifike 1.1+1.2+1.3+1.4)</t>
    </r>
  </si>
  <si>
    <t xml:space="preserve">Objektivi specifik 2.2  Forcimi i kapaciteteve institucionale, magjistratëve edhe jomagjistratet për parandalimin dhe mbrojtjen nga ndërhyrjet e brendshme dhe të jashtme. </t>
  </si>
  <si>
    <t xml:space="preserve">Objektivi specifik: 2.2.  Forcimi i kapaciteteve institucionale, magjistratëve edhe jomagjistratet për parandalimin dhe mbrojtjen nga ndërhyrjet e brendshme dhe të jashtme. </t>
  </si>
  <si>
    <t>Objektivi specifik 2.3 Sigurimi i zbatimit të njëtrajtshëm të standardeve të ndarjes së rastësishme të çështjeve.</t>
  </si>
  <si>
    <t>Objektivi specifik 2.3: Sigurimi i zbatimit të njëtrajtshëm të standardeve të ndarjes së rastësishme të çështjeve.</t>
  </si>
  <si>
    <r>
      <t xml:space="preserve">Përditësim i vazhdueshëm dhe konsistent i raporteve të pasurisë së ILDKPKI-së bazuar në deklaratat e rregullta dhe </t>
    </r>
    <r>
      <rPr>
        <i/>
        <sz val="12"/>
        <color theme="1"/>
        <rFont val="Times New Roman"/>
        <family val="1"/>
      </rPr>
      <t>ad hoc</t>
    </r>
    <r>
      <rPr>
        <sz val="12"/>
        <color theme="1"/>
        <rFont val="Times New Roman"/>
        <family val="1"/>
      </rPr>
      <t xml:space="preserve"> të pasurisë së magjistratëve. </t>
    </r>
  </si>
  <si>
    <r>
      <t>Kryerja e një analize duke përfshirë rekomandime për kuadrin kohor për verifikimin e raporteve të deklarimit të pasurisë dhe për hetime shtesë aty ku është e nevojshme.</t>
    </r>
    <r>
      <rPr>
        <b/>
        <sz val="12"/>
        <color theme="1"/>
        <rFont val="Times New Roman"/>
        <family val="1"/>
      </rPr>
      <t xml:space="preserve"> </t>
    </r>
  </si>
  <si>
    <t>Objektivi specifik 2.5:  Përforcimi i mekanizmave të llogaridhënies së magjistratëve.</t>
  </si>
  <si>
    <r>
      <rPr>
        <b/>
        <sz val="12"/>
        <color indexed="10"/>
        <rFont val="Times New Roman"/>
        <family val="1"/>
      </rPr>
      <t xml:space="preserve">Kosto totale Qëllimi i Politikës III </t>
    </r>
    <r>
      <rPr>
        <sz val="12"/>
        <color theme="1"/>
        <rFont val="Times New Roman"/>
        <family val="1"/>
      </rPr>
      <t xml:space="preserve">
(objektiva specifike 3.1+3.2+3.3+3.4+3.5+3.6)</t>
    </r>
  </si>
  <si>
    <t>Objektivi Specifik 3.1 : Përmirësimi i kapacitetit të KLGJ dhe gjykatave, përfshirë GJL, për zbatimin e masave që rrisin efikasitetin</t>
  </si>
  <si>
    <t>Objektivi specifik 3.2  Përmirësimi i kapacitetit të PP, KLP dhe zyrave të prokurorisë, për zbatimin e masave që rrisin efikasitetin.</t>
  </si>
  <si>
    <t>Objektivi specifik 3.6  Permiresimi i kapacitetit te MD dhe institucioneve te varesise per te perforcuar aksesin ne drejtesi</t>
  </si>
  <si>
    <r>
      <rPr>
        <b/>
        <sz val="12"/>
        <color indexed="10"/>
        <rFont val="Times New Roman"/>
        <family val="1"/>
      </rPr>
      <t xml:space="preserve">Kosto totale Qëllimi i Politikës V </t>
    </r>
    <r>
      <rPr>
        <sz val="12"/>
        <color theme="1"/>
        <rFont val="Times New Roman"/>
        <family val="1"/>
      </rPr>
      <t xml:space="preserve">
(objektiva specifike 5.1+5.2+5.3)</t>
    </r>
  </si>
  <si>
    <t>Kosto totale (QS1+QS2+QS3+QS4+QS5)</t>
  </si>
  <si>
    <t>Objektivi specifik 4.3 Forcimi i kapaciteteve të Shkollës së Magjistraturës me qëllim përmirësimin e trajnimit gjyqësor dhe kurrikulave të trajnimit.</t>
  </si>
  <si>
    <t>Objektivi specifik 4.3: Forcimi i kapaciteteve të Shkollës së Magjistraturës me qëllim përmirësimin e trajnimit gjyqësor dhe kurrikulave të trajnimit.</t>
  </si>
  <si>
    <r>
      <rPr>
        <b/>
        <sz val="12"/>
        <color indexed="10"/>
        <rFont val="Times New Roman"/>
        <family val="1"/>
      </rPr>
      <t xml:space="preserve">Kosto totale Qëllimi i Politikës IV </t>
    </r>
    <r>
      <rPr>
        <sz val="12"/>
        <color theme="1"/>
        <rFont val="Times New Roman"/>
        <family val="1"/>
      </rPr>
      <t xml:space="preserve">
(objektiva specifike 4.1+4.2+4.3+4.4)</t>
    </r>
  </si>
  <si>
    <t>Qëllimi i Politikës 5. Drejtësi më e afërt me qytetarët.</t>
  </si>
  <si>
    <t xml:space="preserve">Objektivi specifik 5.1:  Informimi, edukimi dhe ndërgjegjësimi i publikut mbi sistemin e drejtësisë përmes përdorimit të mjeteve dhe metodave inovative të komunikimit </t>
  </si>
  <si>
    <t xml:space="preserve">Objektivi specifik 5.3: Rritja e njohurive dhe kuptueshmërisë së publikut mbi proceset e integrimit evropian përmes iniciativave të edukimit ligjor të publikut         </t>
  </si>
  <si>
    <t>Qëllimi i Politikës  4. Forcimi i cilësisë së drejtësisë</t>
  </si>
  <si>
    <t>Qëllimi i Politikës 2:  Forcimi i pavarësisë, paanshmërisë dhe llogaridhënies në sistemin e drejtesisë</t>
  </si>
  <si>
    <t>Qëllimi i Politikës 1.  Konsolidimi dhe qendrueshmeria e arritjeve te reformes ne drejtesi ne perputhje me standartet Evropiane</t>
  </si>
  <si>
    <t>other</t>
  </si>
  <si>
    <t>Promovimi i programeve të drejtësisë restauruese dhe ndërmjetësimin në shkolla dhe në komunitet ( MD, DHKN, DNJF)</t>
  </si>
  <si>
    <t>Zhvillimi i kurseve online dhe webinarëve mbi integrimin evropian.</t>
  </si>
  <si>
    <t>1.000,000</t>
  </si>
  <si>
    <t>Kosto Objektivi specifik 3.6</t>
  </si>
  <si>
    <t>3.3.1.5</t>
  </si>
  <si>
    <t>1.1.13. Rritja e mëtejshme e kapaciteteve të organeve të specializuara për korrupsionin dhe krimin e organizuar në mënyrë që ato të mund të kryejnë në mënyrë efikase hetimin dhe gjykimin.</t>
  </si>
  <si>
    <t>(Deri në qershor 2025; qershor 2026; qershor 2028)</t>
  </si>
  <si>
    <t>Kosto totale ne EUR
(kursi kembimit: 1 EUR = 105ALL)</t>
  </si>
  <si>
    <t>Kosto totale ne EUR
(kursi kembimit: 1 EUR = 405 ALL)</t>
  </si>
  <si>
    <t>1 euro 105 Leke</t>
  </si>
  <si>
    <t>Afati Përfundimit</t>
  </si>
  <si>
    <t xml:space="preserve">Rritja e kapaciteteve nepermjet zhvillimit te trajnimeve specifike dhe te vazhdueshme </t>
  </si>
  <si>
    <t>2.4.2.6</t>
  </si>
  <si>
    <t>3.3.2 Burimet njerëzore dhe buxheti i duhur për të siguruar zbatimin praktik të strategjisë së efikasitetit për shpërndarjen e ngarkesës së punës në Prokurorinë Speciale Antikorrupsion dhe Byronë Kombëtare të Hetimit.</t>
  </si>
  <si>
    <t>Nevojat  (në Lek)</t>
  </si>
  <si>
    <t>Qëllimi i Politikës V</t>
  </si>
  <si>
    <t>3.1.2  Burimet njerëzore dhe buxheti i duhur për të siguruar zbatimin praktik të strategjisë së efikasitetit/reduktimit të çështjeve të prapambetura/shpërndarjes së ngarkesës së punës në gjykata.</t>
  </si>
  <si>
    <t>3.2.2 Burimet njerëzore dhe buxheti i duhur për të siguruar zbatimin praktik të strategjisë së efikasitetit/shpërndarjes së ngarkesës së punës në prokurori.</t>
  </si>
  <si>
    <t xml:space="preserve">KLP, ILD, PP, BKH, SPAK, Gjykatat e Posacme, </t>
  </si>
  <si>
    <t>Qeveria/Kuvendi</t>
  </si>
  <si>
    <t>MD, KLGJ,  ILD, KLP, PP,  SPAK, BKH</t>
  </si>
  <si>
    <t>KLGJ, Gjykatat</t>
  </si>
  <si>
    <t>DHKND, DNJF, MD</t>
  </si>
  <si>
    <t>MD, DHKND, DNJF</t>
  </si>
  <si>
    <t>Gjykatat, ILD</t>
  </si>
  <si>
    <t>KLGJ, Gjykatat, ILD</t>
  </si>
  <si>
    <r>
      <t xml:space="preserve">Identifikimi i </t>
    </r>
    <r>
      <rPr>
        <i/>
        <sz val="12"/>
        <color theme="1"/>
        <rFont val="Times New Roman"/>
        <family val="1"/>
      </rPr>
      <t>acquis</t>
    </r>
    <r>
      <rPr>
        <sz val="12"/>
        <color theme="1"/>
        <rFont val="Times New Roman"/>
        <family val="1"/>
      </rPr>
      <t xml:space="preserve"> të Bashkimit Evropian për ndryshimet  e Kodit të Familjes me synim përafrimin e legjislacionit  me acquis dhe praktikat më të mira të BE-së.</t>
    </r>
  </si>
  <si>
    <r>
      <t xml:space="preserve">Identifikimi i </t>
    </r>
    <r>
      <rPr>
        <i/>
        <sz val="12"/>
        <color theme="1"/>
        <rFont val="Times New Roman"/>
        <family val="1"/>
      </rPr>
      <t>acquis</t>
    </r>
    <r>
      <rPr>
        <sz val="12"/>
        <color theme="1"/>
        <rFont val="Times New Roman"/>
        <family val="1"/>
      </rPr>
      <t xml:space="preserve"> të Bashkimit Evropian për ndryshimet në Kodin Civil  me synim përafrimin e legjislacionit  me acquis dhe praktikat më të mira të BE-së.</t>
    </r>
  </si>
  <si>
    <r>
      <t>Identifikimi i</t>
    </r>
    <r>
      <rPr>
        <i/>
        <sz val="12"/>
        <color theme="1"/>
        <rFont val="Times New Roman"/>
        <family val="1"/>
      </rPr>
      <t xml:space="preserve"> acquis</t>
    </r>
    <r>
      <rPr>
        <sz val="12"/>
        <color theme="1"/>
        <rFont val="Times New Roman"/>
        <family val="1"/>
      </rPr>
      <t xml:space="preserve"> të Bashkimit Evropian për ndryshimet  e Kodit të Procedurës Civile  me synim përafrimin e legjislacionit  me acquis dhe praktikat më të mira të BE-së, në lidhje me të drejtat procedurale</t>
    </r>
  </si>
  <si>
    <r>
      <t xml:space="preserve">Identifikimi i </t>
    </r>
    <r>
      <rPr>
        <i/>
        <sz val="12"/>
        <color theme="1"/>
        <rFont val="Times New Roman"/>
        <family val="1"/>
      </rPr>
      <t>acquis</t>
    </r>
    <r>
      <rPr>
        <sz val="12"/>
        <color theme="1"/>
        <rFont val="Times New Roman"/>
        <family val="1"/>
      </rPr>
      <t xml:space="preserve"> të Bashkimit Evropian për ndryshimet  e Kodit të Procedurës Penale me synim përafrimin  me acquis dhe praktikat më të mira të BE-së, në lidhje me të drejtat procedurale </t>
    </r>
  </si>
  <si>
    <r>
      <t xml:space="preserve">Identifikimi i </t>
    </r>
    <r>
      <rPr>
        <i/>
        <sz val="12"/>
        <color theme="1"/>
        <rFont val="Times New Roman"/>
        <family val="1"/>
      </rPr>
      <t>acquis</t>
    </r>
    <r>
      <rPr>
        <sz val="12"/>
        <color theme="1"/>
        <rFont val="Times New Roman"/>
        <family val="1"/>
      </rPr>
      <t xml:space="preserve"> të Bashkimit Evropian për ndryshimet  e  ligjin  nr.  49/2012,  “Për  organizimin  dhe  funksionimin  e  gjykatave  administrative  dhe  gjykimin e mosmarrëveshjeve administrative", të ndryshuar,  me synim përafrimin e legjislacionit  me acquis dhe praktikat më të mira të BE-së, në lidhje me të drejtat procedurale</t>
    </r>
  </si>
  <si>
    <t>1.1.7  Përditësimi i ligji nr.  49/2012,  “Për  organizimin  dhe  funksionimin  e  gjykatave  administrative  dhe  gjykimin e mosmarrëveshjeve administrative", të ndryshuar, në përputhje me acquis të BE për sistemin e drejtësisë.</t>
  </si>
  <si>
    <t>Hartimi i analizes mbi nevojen e ndryshimeve ligjore me qellim rishikimin  e efikasitetit,  rritjen e besimit te publikut dhe  forcimin e transparences për profesionet e lira</t>
  </si>
  <si>
    <t>DHKN, DHKPGJP, DHKND, MD, DPP</t>
  </si>
  <si>
    <t>DHKN, DHKPGJP, DHKND, DPP</t>
  </si>
  <si>
    <t>Hartimi i projektligjeve për ndryshimet përkatëse</t>
  </si>
  <si>
    <t>Avancimi i reformës duke përfshirë ndryshimet ligjore dhe vijueshmërinë e rezultateve pozitive të procesit të verifikimit duke forcuar rregullat për kontrollin e pasurive dhe të figurës për aktorët kryesorë të sistemit të drejtësisë.</t>
  </si>
  <si>
    <t>Ngritja e Grupeve të Punës me pjesëmarrjen e institucioneve përkatëse të drejtësisë në lidhje me ndryshimet ligjore që rregullojnë pavarësinë, paanshmërinë,  integritetin, transparencën dhe besimin e publikut.</t>
  </si>
  <si>
    <t>Institucionet e sistemit të drejtësisë MD</t>
  </si>
  <si>
    <t>Institucionet e sistemit të drejtësisë MD, Kuvendi</t>
  </si>
  <si>
    <t>Konsultime publik dhe miratimi i ndryshimeve ligjore.</t>
  </si>
  <si>
    <t>Institucionet e sistemit të drejtësisë, MD, Kuvendi</t>
  </si>
  <si>
    <t>MD, SHM, KLGJ, KLP, ILD</t>
  </si>
  <si>
    <t>MD, SHM, KLGJ, KLP, ILD, Kuvendi</t>
  </si>
  <si>
    <t>Marrja e masave për mospërfshirjen e ish-magjistratëve të shkarkuar/dorëhequr gjatë vetting-ut në veprimtaritë e institucioneve të sistemit të drejtësisë</t>
  </si>
  <si>
    <t>1.1.8.8</t>
  </si>
  <si>
    <t>Prioritizim i punes ne Kolegjin e Posacem te Apelimit me qellim perfundimin e 60 ceshtjeve ne vit</t>
  </si>
  <si>
    <t>Raportim periodik 6 mujor mbi ceshtjet e perfunduara ne Kolegjin e Posacem te Apelimit</t>
  </si>
  <si>
    <t xml:space="preserve">Planifikimi i aktiviteteve administrative përfundimtare të institucioneve KPA </t>
  </si>
  <si>
    <t xml:space="preserve">Arshivimi i çështjeve të KPA-së </t>
  </si>
  <si>
    <t>MD/Kodifikimi, SHM</t>
  </si>
  <si>
    <t xml:space="preserve">Planifikimi i aktiviteteve administrative përfundimtare të institucionit nga KPK dhe KP </t>
  </si>
  <si>
    <t>1.2.2.5 Kryerja e analizave të çështjeve të vetting-ut që tashmë i janë referuar SPAK-ut nga organet e vettingut, duke përfshirë gjendjen aktuale të çështjeve në SPAK</t>
  </si>
  <si>
    <t>1.2.2.6 Pasqyrë e çështjeve të vetting-ut të përfunduara me qëllim referimin në SPAK, aty ku ka indicie te rasteve të subjekteve të dorëhequr nga procesi sipas Nenit G të Aneksit Kushtetutes.</t>
  </si>
  <si>
    <t>Raportim i rregullt ne gjendjen e hetimeve kriminale kunder ish-gjykatesve dhe ish-prokuroreve duke perfshire dhe investigimet pasurore dhe prandaluese.</t>
  </si>
  <si>
    <t>Analiza dhe vlerësimi i deklarateve publike te KLGJ/KLLP lidhur me ndikimin e padrejte</t>
  </si>
  <si>
    <t xml:space="preserve">Analiza dhe vleresimi i vendimeve e Këshillave për masat e marra parandaluese në lidhje me magjistratët konkretë </t>
  </si>
  <si>
    <t xml:space="preserve">Zgjerimi i struktures ne zyrat lokale nepermjet rritjes se numrit te punonjesve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</si>
</sst>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00_-;\-* #,##0.00_-;_-* &quot;-&quot;??_-;_-@_-"/>
    <numFmt numFmtId="165" formatCode="_(* #,##0_);_(* \(#,##0\);_(* &quot;-&quot;??_);_(@_)"/>
    <numFmt numFmtId="166" formatCode="0.0%"/>
    <numFmt numFmtId="167" formatCode="_(* #,##0.0_);_(* \(#,##0.0\);_(* &quot;-&quot;?_);_(@_)"/>
  </numFmts>
  <fonts count="64">
    <font>
      <sz val="11"/>
      <color theme="1"/>
      <name val="Calibri"/>
      <family val="2"/>
      <scheme val="minor"/>
    </font>
    <font>
      <sz val="10"/>
      <name val="Arial"/>
      <family val="2"/>
      <charset val="238"/>
    </font>
    <font>
      <sz val="10"/>
      <name val="Arial"/>
      <family val="2"/>
    </font>
    <font>
      <sz val="8"/>
      <name val="Calibri"/>
      <family val="2"/>
    </font>
    <font>
      <sz val="11"/>
      <color theme="1"/>
      <name val="Calibri"/>
      <family val="2"/>
      <scheme val="minor"/>
    </font>
    <font>
      <sz val="11"/>
      <color theme="0"/>
      <name val="Calibri"/>
      <family val="2"/>
      <scheme val="minor"/>
    </font>
    <font>
      <sz val="12"/>
      <color theme="1"/>
      <name val="Calibri"/>
      <family val="2"/>
      <scheme val="minor"/>
    </font>
    <font>
      <b/>
      <sz val="11"/>
      <color theme="1"/>
      <name val="Calibri"/>
      <family val="2"/>
      <scheme val="minor"/>
    </font>
    <font>
      <sz val="12"/>
      <color rgb="FF000000"/>
      <name val="Times New Roman"/>
      <family val="1"/>
    </font>
    <font>
      <b/>
      <sz val="12"/>
      <color rgb="FF000000"/>
      <name val="Times New Roman"/>
      <family val="1"/>
    </font>
    <font>
      <sz val="12"/>
      <color theme="1"/>
      <name val="Times New Roman"/>
      <family val="1"/>
    </font>
    <font>
      <b/>
      <sz val="9"/>
      <color theme="1"/>
      <name val="Times New Roman"/>
      <family val="1"/>
    </font>
    <font>
      <sz val="9"/>
      <color theme="1"/>
      <name val="Times New Roman"/>
      <family val="1"/>
    </font>
    <font>
      <b/>
      <sz val="9"/>
      <color rgb="FF000000"/>
      <name val="Times New Roman"/>
      <family val="1"/>
    </font>
    <font>
      <b/>
      <sz val="11"/>
      <color rgb="FFFF0000"/>
      <name val="Calibri"/>
      <family val="2"/>
      <scheme val="minor"/>
    </font>
    <font>
      <b/>
      <sz val="14"/>
      <color rgb="FF0070C0"/>
      <name val="Calibri"/>
      <family val="2"/>
      <scheme val="minor"/>
    </font>
    <font>
      <b/>
      <sz val="12"/>
      <color theme="1"/>
      <name val="Times New Roman"/>
      <family val="1"/>
    </font>
    <font>
      <b/>
      <sz val="12"/>
      <color indexed="10"/>
      <name val="Times New Roman"/>
      <family val="1"/>
    </font>
    <font>
      <b/>
      <sz val="12"/>
      <color rgb="FFFF0000"/>
      <name val="Times New Roman"/>
      <family val="1"/>
    </font>
    <font>
      <sz val="11"/>
      <name val="Calibri"/>
      <family val="2"/>
      <scheme val="minor"/>
    </font>
    <font>
      <b/>
      <sz val="12"/>
      <name val="Times New Roman"/>
      <family val="1"/>
    </font>
    <font>
      <b/>
      <sz val="14"/>
      <color theme="8"/>
      <name val="Times New Roman"/>
      <family val="1"/>
    </font>
    <font>
      <b/>
      <sz val="14"/>
      <color theme="8" tint="-0.249977111117893"/>
      <name val="Times New Roman"/>
      <family val="1"/>
    </font>
    <font>
      <sz val="14"/>
      <color theme="8" tint="-0.249977111117893"/>
      <name val="Times New Roman"/>
      <family val="1"/>
    </font>
    <font>
      <b/>
      <sz val="12"/>
      <color indexed="8"/>
      <name val="Times New Roman"/>
      <family val="1"/>
    </font>
    <font>
      <sz val="12"/>
      <color indexed="8"/>
      <name val="Times New Roman"/>
      <family val="1"/>
    </font>
    <font>
      <sz val="14"/>
      <color theme="8"/>
      <name val="Times New Roman"/>
      <family val="1"/>
    </font>
    <font>
      <sz val="10"/>
      <color theme="1"/>
      <name val="Times New Roman"/>
      <family val="1"/>
    </font>
    <font>
      <b/>
      <sz val="12"/>
      <color rgb="FF000000"/>
      <name val="Calibri"/>
      <family val="2"/>
    </font>
    <font>
      <sz val="10"/>
      <color rgb="FFFF0000"/>
      <name val="Times New Roman"/>
      <family val="1"/>
    </font>
    <font>
      <b/>
      <sz val="10"/>
      <color theme="1"/>
      <name val="Times New Roman"/>
      <family val="1"/>
    </font>
    <font>
      <b/>
      <i/>
      <sz val="12"/>
      <color indexed="30"/>
      <name val="Times New Roman"/>
      <family val="1"/>
    </font>
    <font>
      <sz val="12"/>
      <color rgb="FFFF0000"/>
      <name val="Times New Roman"/>
      <family val="1"/>
    </font>
    <font>
      <sz val="12"/>
      <name val="Times New Roman"/>
      <family val="1"/>
    </font>
    <font>
      <b/>
      <sz val="14"/>
      <color theme="1"/>
      <name val="Times New Roman"/>
      <family val="1"/>
    </font>
    <font>
      <sz val="14"/>
      <color theme="1"/>
      <name val="Times New Roman"/>
      <family val="1"/>
    </font>
    <font>
      <sz val="14"/>
      <color theme="1"/>
      <name val="Calibri"/>
      <family val="2"/>
      <scheme val="minor"/>
    </font>
    <font>
      <sz val="14"/>
      <color theme="0"/>
      <name val="Calibri"/>
      <family val="2"/>
      <scheme val="minor"/>
    </font>
    <font>
      <sz val="14"/>
      <color theme="0"/>
      <name val="Calibri"/>
      <family val="2"/>
    </font>
    <font>
      <sz val="16"/>
      <color theme="1"/>
      <name val="Calibri"/>
      <family val="2"/>
      <scheme val="minor"/>
    </font>
    <font>
      <sz val="9"/>
      <color indexed="81"/>
      <name val="Tahoma"/>
      <family val="2"/>
    </font>
    <font>
      <b/>
      <sz val="9"/>
      <color indexed="81"/>
      <name val="Tahoma"/>
      <family val="2"/>
    </font>
    <font>
      <sz val="10"/>
      <name val="Times New Roman"/>
      <family val="1"/>
    </font>
    <font>
      <i/>
      <sz val="10"/>
      <color theme="1"/>
      <name val="Times New Roman"/>
      <family val="1"/>
    </font>
    <font>
      <i/>
      <sz val="12"/>
      <color theme="1"/>
      <name val="Times New Roman"/>
      <family val="1"/>
    </font>
    <font>
      <b/>
      <i/>
      <sz val="12"/>
      <color theme="4"/>
      <name val="Times New Roman"/>
      <family val="1"/>
    </font>
    <font>
      <b/>
      <sz val="9"/>
      <name val="Times New Roman"/>
      <family val="1"/>
    </font>
    <font>
      <b/>
      <sz val="10"/>
      <name val="Times New Roman"/>
      <family val="1"/>
    </font>
    <font>
      <b/>
      <sz val="12"/>
      <color rgb="FF00B0F0"/>
      <name val="Times New Roman"/>
      <family val="1"/>
    </font>
    <font>
      <sz val="12"/>
      <color theme="4"/>
      <name val="Times New Roman"/>
      <family val="1"/>
    </font>
    <font>
      <b/>
      <sz val="10"/>
      <color rgb="FFFF0000"/>
      <name val="Times New Roman"/>
      <family val="1"/>
    </font>
    <font>
      <strike/>
      <sz val="12"/>
      <color theme="1"/>
      <name val="Times New Roman"/>
      <family val="1"/>
    </font>
    <font>
      <b/>
      <sz val="9"/>
      <color rgb="FFFF0000"/>
      <name val="Times New Roman"/>
      <family val="1"/>
    </font>
    <font>
      <sz val="10"/>
      <color theme="1"/>
      <name val="Times Newt Roman"/>
    </font>
    <font>
      <sz val="12"/>
      <color theme="1"/>
      <name val="Times Newt Roman"/>
    </font>
    <font>
      <sz val="12"/>
      <color rgb="FFFF0000"/>
      <name val="Times Newt Roman"/>
    </font>
    <font>
      <sz val="10"/>
      <color rgb="FF000000"/>
      <name val="Times Newt Roman"/>
    </font>
    <font>
      <sz val="16"/>
      <color theme="1"/>
      <name val="Times New Roman"/>
      <family val="1"/>
    </font>
    <font>
      <b/>
      <sz val="11"/>
      <color theme="1"/>
      <name val="Times New Roman"/>
      <family val="1"/>
    </font>
    <font>
      <b/>
      <sz val="9"/>
      <color rgb="FFFFFFFF"/>
      <name val="Times New Roman"/>
      <family val="1"/>
    </font>
    <font>
      <sz val="9"/>
      <color rgb="FF000000"/>
      <name val="Times New Roman"/>
      <family val="1"/>
    </font>
    <font>
      <b/>
      <i/>
      <sz val="9"/>
      <color rgb="FF000000"/>
      <name val="Times New Roman"/>
      <family val="1"/>
    </font>
    <font>
      <b/>
      <i/>
      <sz val="9"/>
      <color theme="1"/>
      <name val="Times New Roman"/>
      <family val="1"/>
    </font>
    <font>
      <b/>
      <i/>
      <sz val="9"/>
      <color rgb="FFFF0000"/>
      <name val="Times New Roman"/>
      <family val="1"/>
    </font>
  </fonts>
  <fills count="19">
    <fill>
      <patternFill patternType="none"/>
    </fill>
    <fill>
      <patternFill patternType="gray125"/>
    </fill>
    <fill>
      <patternFill patternType="solid">
        <fgColor theme="5"/>
      </patternFill>
    </fill>
    <fill>
      <patternFill patternType="solid">
        <fgColor theme="8"/>
      </patternFill>
    </fill>
    <fill>
      <patternFill patternType="solid">
        <fgColor theme="9"/>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4472C4"/>
        <bgColor indexed="64"/>
      </patternFill>
    </fill>
    <fill>
      <patternFill patternType="solid">
        <fgColor rgb="FFD9E2F3"/>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rgb="FFFFFFFF"/>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D9D9D9"/>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medium">
        <color rgb="FF4472C4"/>
      </bottom>
      <diagonal/>
    </border>
    <border>
      <left/>
      <right style="medium">
        <color indexed="64"/>
      </right>
      <top/>
      <bottom style="medium">
        <color rgb="FF8EAADB"/>
      </bottom>
      <diagonal/>
    </border>
    <border>
      <left style="medium">
        <color indexed="64"/>
      </left>
      <right style="medium">
        <color rgb="FF8EAADB"/>
      </right>
      <top/>
      <bottom/>
      <diagonal/>
    </border>
    <border>
      <left style="medium">
        <color indexed="64"/>
      </left>
      <right style="medium">
        <color rgb="FF8EAADB"/>
      </right>
      <top/>
      <bottom style="medium">
        <color indexed="64"/>
      </bottom>
      <diagonal/>
    </border>
    <border>
      <left style="medium">
        <color rgb="FF8EAADB"/>
      </left>
      <right style="medium">
        <color rgb="FF8EAADB"/>
      </right>
      <top/>
      <bottom style="medium">
        <color indexed="64"/>
      </bottom>
      <diagonal/>
    </border>
    <border>
      <left style="medium">
        <color rgb="FF8EAADB"/>
      </left>
      <right style="medium">
        <color indexed="64"/>
      </right>
      <top style="medium">
        <color rgb="FF8EAADB"/>
      </top>
      <bottom/>
      <diagonal/>
    </border>
    <border>
      <left style="medium">
        <color rgb="FF8EAADB"/>
      </left>
      <right style="medium">
        <color indexed="64"/>
      </right>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right style="medium">
        <color indexed="64"/>
      </right>
      <top style="medium">
        <color rgb="FF4472C4"/>
      </top>
      <bottom/>
      <diagonal/>
    </border>
    <border>
      <left style="medium">
        <color rgb="FF8EAADB"/>
      </left>
      <right style="medium">
        <color rgb="FF8EAADB"/>
      </right>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17">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43" fontId="4" fillId="0" borderId="0" applyFont="0" applyFill="0" applyBorder="0" applyAlignment="0" applyProtection="0"/>
    <xf numFmtId="43" fontId="2" fillId="0" borderId="0" applyFont="0" applyFill="0" applyBorder="0" applyAlignment="0" applyProtection="0"/>
    <xf numFmtId="164" fontId="4" fillId="0" borderId="0" applyFont="0" applyFill="0" applyBorder="0" applyAlignment="0" applyProtection="0"/>
    <xf numFmtId="0" fontId="2" fillId="0" borderId="0"/>
    <xf numFmtId="0" fontId="2" fillId="0" borderId="0"/>
    <xf numFmtId="0" fontId="2" fillId="0" borderId="0"/>
    <xf numFmtId="0" fontId="4" fillId="0" borderId="0"/>
    <xf numFmtId="0" fontId="6" fillId="0" borderId="0"/>
    <xf numFmtId="0" fontId="1" fillId="0" borderId="0"/>
    <xf numFmtId="0" fontId="2" fillId="0" borderId="0"/>
    <xf numFmtId="9" fontId="4" fillId="0" borderId="0" applyFont="0" applyFill="0" applyBorder="0" applyAlignment="0" applyProtection="0"/>
    <xf numFmtId="0" fontId="6" fillId="0" borderId="0"/>
    <xf numFmtId="0" fontId="4" fillId="0" borderId="0"/>
  </cellStyleXfs>
  <cellXfs count="960">
    <xf numFmtId="0" fontId="0" fillId="0" borderId="0" xfId="0"/>
    <xf numFmtId="0" fontId="8" fillId="0" borderId="1" xfId="0" applyFont="1" applyBorder="1" applyAlignment="1">
      <alignment horizontal="center" vertical="center" wrapText="1"/>
    </xf>
    <xf numFmtId="3" fontId="7" fillId="5" borderId="0" xfId="0" applyNumberFormat="1" applyFont="1" applyFill="1"/>
    <xf numFmtId="0" fontId="9" fillId="5" borderId="0" xfId="0" applyFont="1" applyFill="1" applyAlignment="1">
      <alignment horizontal="center" vertical="center" wrapText="1"/>
    </xf>
    <xf numFmtId="0" fontId="11" fillId="0" borderId="0" xfId="0" applyFont="1"/>
    <xf numFmtId="0" fontId="12" fillId="0" borderId="0" xfId="0" applyFont="1"/>
    <xf numFmtId="0" fontId="12" fillId="0" borderId="0" xfId="0" applyFont="1" applyAlignment="1">
      <alignment horizontal="center"/>
    </xf>
    <xf numFmtId="3" fontId="8" fillId="0" borderId="1" xfId="0" applyNumberFormat="1" applyFont="1" applyBorder="1" applyAlignment="1">
      <alignment horizontal="center" vertical="center" wrapText="1"/>
    </xf>
    <xf numFmtId="3" fontId="8" fillId="0" borderId="1" xfId="4" applyNumberFormat="1" applyFont="1" applyFill="1" applyBorder="1" applyAlignment="1">
      <alignment horizontal="center" vertical="center" wrapText="1"/>
    </xf>
    <xf numFmtId="3" fontId="12" fillId="0" borderId="0" xfId="0" applyNumberFormat="1" applyFont="1" applyAlignment="1">
      <alignment horizontal="center" vertical="center"/>
    </xf>
    <xf numFmtId="3" fontId="0" fillId="0" borderId="0" xfId="0" applyNumberFormat="1" applyAlignment="1">
      <alignment horizontal="center" vertical="center"/>
    </xf>
    <xf numFmtId="3" fontId="0" fillId="0" borderId="18" xfId="0" applyNumberFormat="1" applyBorder="1" applyAlignment="1">
      <alignment horizontal="center" vertical="center"/>
    </xf>
    <xf numFmtId="3" fontId="4" fillId="0" borderId="0" xfId="14" applyNumberFormat="1" applyFont="1" applyAlignment="1">
      <alignment horizontal="center" vertical="center"/>
    </xf>
    <xf numFmtId="3" fontId="12" fillId="0" borderId="0" xfId="4" applyNumberFormat="1" applyFont="1" applyFill="1" applyBorder="1" applyAlignment="1">
      <alignment horizontal="center" vertical="center"/>
    </xf>
    <xf numFmtId="3" fontId="12" fillId="0" borderId="0" xfId="0" applyNumberFormat="1" applyFont="1"/>
    <xf numFmtId="0" fontId="11" fillId="0" borderId="0" xfId="0" applyFont="1" applyAlignment="1">
      <alignment horizontal="center"/>
    </xf>
    <xf numFmtId="3" fontId="5" fillId="3" borderId="1" xfId="2" applyNumberFormat="1" applyBorder="1" applyAlignment="1">
      <alignment horizontal="center" vertical="center" wrapText="1"/>
    </xf>
    <xf numFmtId="3" fontId="5" fillId="3" borderId="1" xfId="2" applyNumberFormat="1" applyBorder="1" applyAlignment="1">
      <alignment horizontal="center" vertical="center"/>
    </xf>
    <xf numFmtId="3" fontId="5" fillId="2" borderId="1" xfId="1" applyNumberFormat="1" applyBorder="1" applyAlignment="1">
      <alignment horizontal="center" vertical="center"/>
    </xf>
    <xf numFmtId="3" fontId="0" fillId="0" borderId="0" xfId="0" applyNumberFormat="1"/>
    <xf numFmtId="3" fontId="14" fillId="0" borderId="0" xfId="0" applyNumberFormat="1" applyFont="1" applyAlignment="1">
      <alignment horizontal="center" vertical="center"/>
    </xf>
    <xf numFmtId="3" fontId="9" fillId="0" borderId="24" xfId="0" applyNumberFormat="1" applyFont="1" applyBorder="1" applyAlignment="1">
      <alignment horizontal="center" vertical="center" wrapText="1"/>
    </xf>
    <xf numFmtId="3" fontId="9" fillId="0" borderId="29" xfId="0" applyNumberFormat="1" applyFont="1" applyBorder="1" applyAlignment="1">
      <alignment horizontal="center" vertical="center" wrapText="1"/>
    </xf>
    <xf numFmtId="0" fontId="9" fillId="0" borderId="18" xfId="0" applyFont="1" applyBorder="1" applyAlignment="1">
      <alignment horizontal="center" vertical="center" wrapText="1"/>
    </xf>
    <xf numFmtId="3" fontId="20" fillId="0" borderId="33" xfId="0" applyNumberFormat="1" applyFont="1" applyBorder="1" applyAlignment="1">
      <alignment horizontal="center" vertical="center" wrapText="1"/>
    </xf>
    <xf numFmtId="3" fontId="19" fillId="0" borderId="31" xfId="0" applyNumberFormat="1" applyFont="1" applyBorder="1" applyAlignment="1">
      <alignment horizontal="center" vertical="center" wrapText="1"/>
    </xf>
    <xf numFmtId="3" fontId="19" fillId="0" borderId="32" xfId="0" applyNumberFormat="1" applyFont="1" applyBorder="1" applyAlignment="1">
      <alignment horizontal="center" vertical="center" wrapText="1"/>
    </xf>
    <xf numFmtId="3" fontId="9" fillId="0" borderId="16" xfId="0" applyNumberFormat="1" applyFont="1" applyBorder="1" applyAlignment="1">
      <alignment horizontal="center" vertical="center" wrapText="1"/>
    </xf>
    <xf numFmtId="3" fontId="9" fillId="0" borderId="31" xfId="0" applyNumberFormat="1" applyFont="1" applyBorder="1" applyAlignment="1">
      <alignment horizontal="center" vertical="center" wrapText="1"/>
    </xf>
    <xf numFmtId="0" fontId="9" fillId="0" borderId="33" xfId="0" applyFont="1" applyBorder="1" applyAlignment="1">
      <alignment horizontal="center" vertical="center" wrapText="1"/>
    </xf>
    <xf numFmtId="0" fontId="9" fillId="0" borderId="31" xfId="0" applyFont="1" applyBorder="1" applyAlignment="1">
      <alignment horizontal="center" vertical="center" wrapText="1"/>
    </xf>
    <xf numFmtId="3" fontId="20" fillId="0" borderId="31" xfId="0" applyNumberFormat="1" applyFont="1" applyBorder="1" applyAlignment="1">
      <alignment horizontal="center" vertical="center" wrapText="1"/>
    </xf>
    <xf numFmtId="3" fontId="0" fillId="0" borderId="32" xfId="0" applyNumberFormat="1" applyBorder="1" applyAlignment="1">
      <alignment horizontal="center" vertical="center"/>
    </xf>
    <xf numFmtId="3" fontId="9" fillId="0" borderId="7" xfId="0" applyNumberFormat="1" applyFont="1" applyBorder="1" applyAlignment="1">
      <alignment horizontal="center" vertical="center" wrapText="1"/>
    </xf>
    <xf numFmtId="3" fontId="9" fillId="0" borderId="17" xfId="0" applyNumberFormat="1" applyFont="1" applyBorder="1" applyAlignment="1">
      <alignment horizontal="center" vertical="center" wrapText="1"/>
    </xf>
    <xf numFmtId="0" fontId="9" fillId="0" borderId="1" xfId="0" applyFont="1" applyBorder="1" applyAlignment="1">
      <alignment horizontal="center" vertical="center" wrapText="1"/>
    </xf>
    <xf numFmtId="9" fontId="0" fillId="0" borderId="0" xfId="0" applyNumberFormat="1" applyAlignment="1">
      <alignment horizontal="center" vertical="center"/>
    </xf>
    <xf numFmtId="3" fontId="18" fillId="0" borderId="2" xfId="0" applyNumberFormat="1" applyFont="1" applyBorder="1" applyAlignment="1">
      <alignment horizontal="center" vertical="center"/>
    </xf>
    <xf numFmtId="3" fontId="9" fillId="11" borderId="18"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3" fontId="18" fillId="0" borderId="1" xfId="0" applyNumberFormat="1" applyFont="1" applyBorder="1" applyAlignment="1">
      <alignment horizontal="center" vertical="center"/>
    </xf>
    <xf numFmtId="0" fontId="27" fillId="0" borderId="0" xfId="0" applyFont="1" applyAlignment="1">
      <alignment wrapText="1"/>
    </xf>
    <xf numFmtId="10" fontId="11" fillId="0" borderId="0" xfId="0" applyNumberFormat="1" applyFont="1"/>
    <xf numFmtId="3" fontId="5" fillId="0" borderId="0" xfId="3" applyNumberFormat="1" applyFill="1" applyBorder="1" applyAlignment="1">
      <alignment horizontal="center" vertical="center"/>
    </xf>
    <xf numFmtId="166" fontId="5" fillId="0" borderId="0" xfId="3" applyNumberFormat="1" applyFill="1" applyBorder="1" applyAlignment="1">
      <alignment horizontal="center" vertical="center"/>
    </xf>
    <xf numFmtId="9" fontId="4" fillId="0" borderId="0" xfId="14" applyFont="1" applyAlignment="1">
      <alignment horizontal="center" vertical="center"/>
    </xf>
    <xf numFmtId="0" fontId="12" fillId="0" borderId="0" xfId="0" applyFont="1" applyAlignment="1">
      <alignment wrapText="1"/>
    </xf>
    <xf numFmtId="0" fontId="27" fillId="0" borderId="0" xfId="0" applyFont="1"/>
    <xf numFmtId="0" fontId="30" fillId="0" borderId="0" xfId="0" applyFont="1"/>
    <xf numFmtId="10" fontId="30" fillId="0" borderId="0" xfId="0" applyNumberFormat="1" applyFont="1"/>
    <xf numFmtId="0" fontId="29" fillId="0" borderId="0" xfId="0" applyFont="1"/>
    <xf numFmtId="0" fontId="9" fillId="0" borderId="27" xfId="0" applyFont="1" applyBorder="1" applyAlignment="1">
      <alignment horizontal="center" vertical="center" wrapText="1"/>
    </xf>
    <xf numFmtId="0" fontId="16" fillId="0" borderId="1" xfId="0" applyFont="1" applyBorder="1" applyAlignment="1">
      <alignment horizontal="center" vertical="center"/>
    </xf>
    <xf numFmtId="3" fontId="9" fillId="0" borderId="2" xfId="0" applyNumberFormat="1" applyFont="1" applyBorder="1" applyAlignment="1">
      <alignment horizontal="center" vertical="center" wrapText="1"/>
    </xf>
    <xf numFmtId="3" fontId="9" fillId="0" borderId="10" xfId="0" applyNumberFormat="1" applyFont="1" applyBorder="1" applyAlignment="1">
      <alignment horizontal="center" vertical="center" wrapText="1"/>
    </xf>
    <xf numFmtId="0" fontId="9" fillId="0" borderId="26" xfId="0" applyFont="1" applyBorder="1" applyAlignment="1">
      <alignment horizontal="center" vertical="center" wrapText="1"/>
    </xf>
    <xf numFmtId="0" fontId="8" fillId="0" borderId="27" xfId="0" applyFont="1" applyBorder="1" applyAlignment="1">
      <alignment horizontal="center" vertical="center" wrapText="1"/>
    </xf>
    <xf numFmtId="3" fontId="8" fillId="0" borderId="27" xfId="0" applyNumberFormat="1" applyFont="1" applyBorder="1" applyAlignment="1">
      <alignment horizontal="center" vertical="center" wrapText="1"/>
    </xf>
    <xf numFmtId="3" fontId="8" fillId="0" borderId="27" xfId="4" applyNumberFormat="1" applyFont="1" applyBorder="1" applyAlignment="1">
      <alignment horizontal="center" vertical="center" wrapText="1"/>
    </xf>
    <xf numFmtId="3" fontId="8" fillId="0" borderId="27" xfId="4" applyNumberFormat="1" applyFont="1" applyFill="1" applyBorder="1" applyAlignment="1">
      <alignment horizontal="center" vertical="center" wrapText="1"/>
    </xf>
    <xf numFmtId="3" fontId="8" fillId="0" borderId="28" xfId="4" applyNumberFormat="1" applyFont="1" applyBorder="1" applyAlignment="1">
      <alignment horizontal="center" vertical="center" wrapText="1"/>
    </xf>
    <xf numFmtId="0" fontId="9" fillId="0" borderId="5" xfId="0" applyFont="1" applyBorder="1" applyAlignment="1">
      <alignment horizontal="center" vertical="center" wrapText="1"/>
    </xf>
    <xf numFmtId="0" fontId="31" fillId="0" borderId="1" xfId="0" applyFont="1" applyBorder="1" applyAlignment="1">
      <alignment horizontal="left" vertical="center" wrapText="1"/>
    </xf>
    <xf numFmtId="0" fontId="8" fillId="0" borderId="1" xfId="0" applyFont="1" applyBorder="1" applyAlignment="1">
      <alignment horizontal="left" vertical="center" wrapText="1"/>
    </xf>
    <xf numFmtId="3" fontId="8" fillId="0" borderId="1" xfId="4" applyNumberFormat="1" applyFont="1" applyBorder="1" applyAlignment="1">
      <alignment horizontal="center" vertical="center" wrapText="1"/>
    </xf>
    <xf numFmtId="3" fontId="8" fillId="0" borderId="14" xfId="4" applyNumberFormat="1" applyFont="1" applyBorder="1" applyAlignment="1">
      <alignment horizontal="center" vertical="center" wrapText="1"/>
    </xf>
    <xf numFmtId="0" fontId="10" fillId="0" borderId="1" xfId="0" applyFont="1" applyBorder="1" applyAlignment="1">
      <alignment vertical="center" wrapText="1"/>
    </xf>
    <xf numFmtId="0" fontId="32" fillId="0" borderId="1" xfId="0" applyFont="1" applyBorder="1" applyAlignment="1">
      <alignment horizontal="left" vertical="center" wrapText="1"/>
    </xf>
    <xf numFmtId="0" fontId="32" fillId="12" borderId="8" xfId="0" applyFont="1" applyFill="1" applyBorder="1" applyAlignment="1">
      <alignment horizontal="center" vertical="center" wrapText="1"/>
    </xf>
    <xf numFmtId="41" fontId="8" fillId="0" borderId="14" xfId="4" applyNumberFormat="1" applyFont="1" applyBorder="1" applyAlignment="1">
      <alignment horizontal="center" vertical="center" wrapText="1"/>
    </xf>
    <xf numFmtId="0" fontId="32" fillId="12" borderId="1" xfId="0" applyFont="1" applyFill="1" applyBorder="1" applyAlignment="1">
      <alignment horizontal="center" wrapText="1"/>
    </xf>
    <xf numFmtId="0" fontId="32" fillId="12" borderId="1" xfId="0" applyFont="1" applyFill="1" applyBorder="1" applyAlignment="1">
      <alignment horizontal="center" vertical="center" wrapText="1"/>
    </xf>
    <xf numFmtId="0" fontId="32" fillId="12" borderId="41" xfId="0" applyFont="1" applyFill="1" applyBorder="1" applyAlignment="1">
      <alignment horizontal="center" wrapText="1"/>
    </xf>
    <xf numFmtId="0" fontId="10" fillId="0" borderId="1" xfId="0" applyFont="1" applyBorder="1" applyAlignment="1">
      <alignment vertical="top" wrapText="1"/>
    </xf>
    <xf numFmtId="0" fontId="32" fillId="0" borderId="1" xfId="0" applyFont="1" applyBorder="1" applyAlignment="1">
      <alignment horizontal="left" wrapText="1"/>
    </xf>
    <xf numFmtId="3" fontId="8" fillId="0" borderId="1" xfId="0" applyNumberFormat="1" applyFont="1" applyBorder="1" applyAlignment="1">
      <alignment horizontal="center" wrapText="1"/>
    </xf>
    <xf numFmtId="3" fontId="8" fillId="0" borderId="1" xfId="4" applyNumberFormat="1" applyFont="1" applyFill="1" applyBorder="1" applyAlignment="1">
      <alignment horizontal="center" wrapText="1"/>
    </xf>
    <xf numFmtId="0" fontId="9" fillId="0" borderId="5" xfId="0" applyFont="1" applyBorder="1" applyAlignment="1">
      <alignment horizontal="center" wrapText="1"/>
    </xf>
    <xf numFmtId="0" fontId="9" fillId="7" borderId="23" xfId="0" applyFont="1" applyFill="1" applyBorder="1" applyAlignment="1">
      <alignment horizontal="center" vertical="center" wrapText="1"/>
    </xf>
    <xf numFmtId="0" fontId="18" fillId="7" borderId="21" xfId="0" applyFont="1" applyFill="1" applyBorder="1" applyAlignment="1">
      <alignment horizontal="left" vertical="center" wrapText="1"/>
    </xf>
    <xf numFmtId="0" fontId="9" fillId="7" borderId="21" xfId="0" applyFont="1" applyFill="1" applyBorder="1" applyAlignment="1">
      <alignment horizontal="left" vertical="center" wrapText="1"/>
    </xf>
    <xf numFmtId="0" fontId="9" fillId="7" borderId="21" xfId="0" applyFont="1" applyFill="1" applyBorder="1" applyAlignment="1">
      <alignment horizontal="center" vertical="center" wrapText="1"/>
    </xf>
    <xf numFmtId="3" fontId="18" fillId="7" borderId="21" xfId="4" applyNumberFormat="1" applyFont="1" applyFill="1" applyBorder="1" applyAlignment="1">
      <alignment horizontal="center" vertical="center" wrapText="1"/>
    </xf>
    <xf numFmtId="3" fontId="10" fillId="0" borderId="1" xfId="0" applyNumberFormat="1" applyFont="1" applyBorder="1" applyAlignment="1">
      <alignment horizontal="center" vertical="center"/>
    </xf>
    <xf numFmtId="3" fontId="10" fillId="0" borderId="1" xfId="0" applyNumberFormat="1" applyFont="1" applyBorder="1" applyAlignment="1">
      <alignment horizontal="center" vertical="center" wrapText="1"/>
    </xf>
    <xf numFmtId="0" fontId="9" fillId="7" borderId="44" xfId="0" applyFont="1" applyFill="1" applyBorder="1" applyAlignment="1">
      <alignment horizontal="center" vertical="center" wrapText="1"/>
    </xf>
    <xf numFmtId="41" fontId="18" fillId="7" borderId="21" xfId="4" applyNumberFormat="1"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3" fontId="9" fillId="0" borderId="3" xfId="0" applyNumberFormat="1" applyFont="1" applyBorder="1" applyAlignment="1">
      <alignment horizontal="center" vertical="center" wrapText="1"/>
    </xf>
    <xf numFmtId="0" fontId="10" fillId="0" borderId="27" xfId="0" applyFont="1" applyBorder="1" applyAlignment="1">
      <alignment horizontal="center"/>
    </xf>
    <xf numFmtId="3" fontId="8" fillId="0" borderId="28" xfId="0" applyNumberFormat="1" applyFont="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center"/>
    </xf>
    <xf numFmtId="3" fontId="8" fillId="0" borderId="14" xfId="0" applyNumberFormat="1" applyFont="1" applyBorder="1" applyAlignment="1">
      <alignment horizontal="center" vertical="center" wrapText="1"/>
    </xf>
    <xf numFmtId="0" fontId="10" fillId="0" borderId="8" xfId="0" applyFont="1" applyBorder="1" applyAlignment="1">
      <alignment vertical="center" wrapText="1"/>
    </xf>
    <xf numFmtId="0" fontId="18" fillId="0" borderId="1" xfId="0" applyFont="1" applyBorder="1" applyAlignment="1">
      <alignment horizontal="center" vertical="center" wrapText="1"/>
    </xf>
    <xf numFmtId="0" fontId="10" fillId="0" borderId="1" xfId="0" applyFont="1" applyBorder="1" applyAlignment="1">
      <alignment horizontal="center" wrapText="1"/>
    </xf>
    <xf numFmtId="0" fontId="16" fillId="0" borderId="5" xfId="0" applyFont="1" applyBorder="1" applyAlignment="1">
      <alignment horizontal="center" vertical="center"/>
    </xf>
    <xf numFmtId="0" fontId="10" fillId="0" borderId="1" xfId="0" applyFont="1" applyBorder="1"/>
    <xf numFmtId="0" fontId="9" fillId="0" borderId="46" xfId="0" applyFont="1" applyBorder="1" applyAlignment="1">
      <alignment horizontal="center" vertical="center" wrapText="1"/>
    </xf>
    <xf numFmtId="3" fontId="10" fillId="0" borderId="47" xfId="0" applyNumberFormat="1" applyFont="1" applyBorder="1" applyAlignment="1">
      <alignment horizontal="center" vertical="center"/>
    </xf>
    <xf numFmtId="0" fontId="16" fillId="0" borderId="26" xfId="0" applyFont="1" applyBorder="1" applyAlignment="1">
      <alignment horizontal="center" vertical="center"/>
    </xf>
    <xf numFmtId="3" fontId="10" fillId="0" borderId="27" xfId="0" applyNumberFormat="1" applyFont="1" applyBorder="1" applyAlignment="1">
      <alignment horizontal="center" vertical="center"/>
    </xf>
    <xf numFmtId="3" fontId="10" fillId="0" borderId="28" xfId="0" applyNumberFormat="1" applyFont="1" applyBorder="1" applyAlignment="1">
      <alignment horizontal="center" vertical="center"/>
    </xf>
    <xf numFmtId="3" fontId="10" fillId="0" borderId="1" xfId="4" applyNumberFormat="1" applyFont="1" applyBorder="1" applyAlignment="1">
      <alignment horizontal="center" vertical="center"/>
    </xf>
    <xf numFmtId="3" fontId="10" fillId="0" borderId="1" xfId="4" applyNumberFormat="1" applyFont="1" applyFill="1" applyBorder="1" applyAlignment="1">
      <alignment horizontal="center" vertical="center"/>
    </xf>
    <xf numFmtId="0" fontId="9" fillId="7" borderId="44" xfId="0" applyFont="1" applyFill="1" applyBorder="1" applyAlignment="1">
      <alignment horizontal="left" vertical="center" wrapText="1"/>
    </xf>
    <xf numFmtId="3" fontId="18" fillId="7" borderId="21" xfId="0" applyNumberFormat="1" applyFont="1" applyFill="1" applyBorder="1" applyAlignment="1">
      <alignment horizontal="center" vertical="center" wrapText="1"/>
    </xf>
    <xf numFmtId="0" fontId="16" fillId="0" borderId="27" xfId="0" applyFont="1" applyBorder="1" applyAlignment="1">
      <alignment horizontal="center"/>
    </xf>
    <xf numFmtId="3" fontId="16" fillId="0" borderId="27" xfId="0" applyNumberFormat="1" applyFont="1" applyBorder="1" applyAlignment="1">
      <alignment horizontal="center" vertical="center"/>
    </xf>
    <xf numFmtId="3" fontId="16" fillId="0" borderId="28" xfId="0" applyNumberFormat="1" applyFont="1" applyBorder="1" applyAlignment="1">
      <alignment horizontal="center" vertical="center"/>
    </xf>
    <xf numFmtId="3" fontId="10" fillId="0" borderId="14" xfId="0" applyNumberFormat="1" applyFont="1" applyBorder="1" applyAlignment="1">
      <alignment horizontal="center" vertical="center"/>
    </xf>
    <xf numFmtId="0" fontId="16" fillId="0" borderId="5" xfId="0" applyFont="1" applyBorder="1" applyAlignment="1">
      <alignment horizontal="center" vertical="center" wrapText="1"/>
    </xf>
    <xf numFmtId="0" fontId="10" fillId="0" borderId="1" xfId="0" applyFont="1" applyBorder="1" applyAlignment="1">
      <alignment wrapText="1"/>
    </xf>
    <xf numFmtId="3" fontId="33" fillId="0" borderId="1" xfId="4" applyNumberFormat="1" applyFont="1" applyFill="1" applyBorder="1" applyAlignment="1">
      <alignment horizontal="center" vertical="center" wrapText="1"/>
    </xf>
    <xf numFmtId="3" fontId="33" fillId="0" borderId="1" xfId="4" applyNumberFormat="1" applyFont="1" applyBorder="1" applyAlignment="1">
      <alignment horizontal="center" vertical="center" wrapText="1"/>
    </xf>
    <xf numFmtId="3" fontId="33" fillId="0" borderId="1" xfId="4" applyNumberFormat="1" applyFont="1" applyFill="1" applyBorder="1" applyAlignment="1">
      <alignment horizontal="center" vertical="center"/>
    </xf>
    <xf numFmtId="3" fontId="33" fillId="0" borderId="1" xfId="4" applyNumberFormat="1" applyFont="1" applyBorder="1" applyAlignment="1">
      <alignment horizontal="center" vertical="center"/>
    </xf>
    <xf numFmtId="0" fontId="10" fillId="0" borderId="27" xfId="0" applyFont="1" applyBorder="1" applyAlignment="1">
      <alignment horizontal="center" vertical="center"/>
    </xf>
    <xf numFmtId="0" fontId="10" fillId="0" borderId="1" xfId="0" applyFont="1" applyBorder="1" applyAlignment="1">
      <alignment horizontal="center" vertical="center"/>
    </xf>
    <xf numFmtId="0" fontId="16" fillId="0" borderId="1" xfId="0" applyFont="1" applyBorder="1" applyAlignment="1">
      <alignment horizontal="center" vertical="center" wrapText="1"/>
    </xf>
    <xf numFmtId="3" fontId="10" fillId="0" borderId="1" xfId="4" applyNumberFormat="1" applyFont="1" applyFill="1" applyBorder="1" applyAlignment="1">
      <alignment horizontal="center" vertical="center" wrapText="1"/>
    </xf>
    <xf numFmtId="0" fontId="20" fillId="0" borderId="47" xfId="0" applyFont="1" applyBorder="1" applyAlignment="1">
      <alignment horizontal="left" vertical="center" wrapText="1"/>
    </xf>
    <xf numFmtId="0" fontId="9" fillId="0" borderId="47" xfId="0" applyFont="1" applyBorder="1" applyAlignment="1">
      <alignment horizontal="left" vertical="center" wrapText="1"/>
    </xf>
    <xf numFmtId="0" fontId="9" fillId="0" borderId="47" xfId="0" applyFont="1" applyBorder="1" applyAlignment="1">
      <alignment horizontal="center" vertical="center" wrapText="1"/>
    </xf>
    <xf numFmtId="3" fontId="18" fillId="0" borderId="47" xfId="4" applyNumberFormat="1" applyFont="1" applyFill="1" applyBorder="1" applyAlignment="1">
      <alignment horizontal="center" vertical="center" wrapText="1"/>
    </xf>
    <xf numFmtId="41" fontId="18" fillId="0" borderId="48" xfId="4" applyNumberFormat="1" applyFont="1" applyFill="1" applyBorder="1" applyAlignment="1">
      <alignment horizontal="center" vertical="center" wrapText="1"/>
    </xf>
    <xf numFmtId="3" fontId="10" fillId="0" borderId="0" xfId="0" applyNumberFormat="1" applyFont="1" applyAlignment="1">
      <alignment horizontal="center" vertical="center"/>
    </xf>
    <xf numFmtId="0" fontId="25" fillId="0" borderId="5" xfId="0" applyFont="1" applyBorder="1" applyAlignment="1">
      <alignment horizontal="left" vertical="center" wrapText="1"/>
    </xf>
    <xf numFmtId="0" fontId="25" fillId="0" borderId="5" xfId="0" applyFont="1" applyBorder="1" applyAlignment="1">
      <alignment horizontal="left" wrapText="1"/>
    </xf>
    <xf numFmtId="3" fontId="9" fillId="11" borderId="18" xfId="0" applyNumberFormat="1" applyFont="1" applyFill="1" applyBorder="1" applyAlignment="1">
      <alignment horizontal="left" vertical="center" wrapText="1"/>
    </xf>
    <xf numFmtId="3" fontId="9" fillId="0" borderId="7" xfId="0" applyNumberFormat="1" applyFont="1" applyBorder="1" applyAlignment="1">
      <alignment horizontal="left" vertical="center" wrapText="1"/>
    </xf>
    <xf numFmtId="3" fontId="9" fillId="0" borderId="16" xfId="0" applyNumberFormat="1" applyFont="1" applyBorder="1" applyAlignment="1">
      <alignment horizontal="left" vertical="center" wrapText="1"/>
    </xf>
    <xf numFmtId="3" fontId="9" fillId="0" borderId="17" xfId="0" applyNumberFormat="1" applyFont="1" applyBorder="1" applyAlignment="1">
      <alignment horizontal="left" vertical="center" wrapText="1"/>
    </xf>
    <xf numFmtId="3" fontId="9" fillId="0" borderId="11" xfId="0" applyNumberFormat="1" applyFont="1" applyBorder="1" applyAlignment="1">
      <alignment horizontal="left" vertical="center" wrapText="1"/>
    </xf>
    <xf numFmtId="3" fontId="9" fillId="0" borderId="12" xfId="0" applyNumberFormat="1" applyFont="1" applyBorder="1" applyAlignment="1">
      <alignment horizontal="left" vertical="center" wrapText="1"/>
    </xf>
    <xf numFmtId="3" fontId="9" fillId="0" borderId="13" xfId="0" applyNumberFormat="1" applyFont="1" applyBorder="1" applyAlignment="1">
      <alignment horizontal="left" vertical="center" wrapText="1"/>
    </xf>
    <xf numFmtId="3" fontId="9" fillId="11" borderId="20" xfId="0" applyNumberFormat="1" applyFont="1" applyFill="1" applyBorder="1" applyAlignment="1">
      <alignment horizontal="left" vertical="center" wrapText="1"/>
    </xf>
    <xf numFmtId="3" fontId="9" fillId="11" borderId="42" xfId="0" applyNumberFormat="1" applyFont="1" applyFill="1" applyBorder="1" applyAlignment="1">
      <alignment horizontal="left" vertical="center" wrapText="1"/>
    </xf>
    <xf numFmtId="3" fontId="9" fillId="11" borderId="25" xfId="0" applyNumberFormat="1" applyFont="1" applyFill="1" applyBorder="1" applyAlignment="1">
      <alignment horizontal="left" vertical="center" wrapText="1"/>
    </xf>
    <xf numFmtId="3" fontId="9" fillId="0" borderId="42" xfId="0" applyNumberFormat="1" applyFont="1" applyBorder="1" applyAlignment="1">
      <alignment horizontal="left" vertical="center" wrapText="1"/>
    </xf>
    <xf numFmtId="0" fontId="25" fillId="0" borderId="4" xfId="0" applyFont="1" applyBorder="1" applyAlignment="1">
      <alignment horizontal="left" vertical="center" wrapText="1"/>
    </xf>
    <xf numFmtId="0" fontId="10" fillId="0" borderId="6" xfId="0" applyFont="1" applyBorder="1" applyAlignment="1">
      <alignment horizontal="left" wrapText="1"/>
    </xf>
    <xf numFmtId="0" fontId="10" fillId="0" borderId="2" xfId="0" applyFont="1" applyBorder="1" applyAlignment="1">
      <alignment horizontal="left"/>
    </xf>
    <xf numFmtId="3" fontId="9" fillId="0" borderId="20" xfId="0" applyNumberFormat="1" applyFont="1" applyBorder="1" applyAlignment="1">
      <alignment horizontal="left" vertical="center" wrapText="1"/>
    </xf>
    <xf numFmtId="3" fontId="9" fillId="0" borderId="25" xfId="0" applyNumberFormat="1" applyFont="1" applyBorder="1" applyAlignment="1">
      <alignment horizontal="left" vertical="center" wrapText="1"/>
    </xf>
    <xf numFmtId="37" fontId="10" fillId="0" borderId="1" xfId="0" applyNumberFormat="1" applyFont="1" applyBorder="1" applyAlignment="1">
      <alignment horizontal="center" vertical="center"/>
    </xf>
    <xf numFmtId="41" fontId="8" fillId="0" borderId="14" xfId="4" applyNumberFormat="1" applyFont="1" applyFill="1" applyBorder="1" applyAlignment="1">
      <alignment horizontal="center" vertical="center" wrapText="1"/>
    </xf>
    <xf numFmtId="0" fontId="32" fillId="12" borderId="15" xfId="0" applyFont="1" applyFill="1" applyBorder="1" applyAlignment="1">
      <alignment horizontal="center" wrapText="1"/>
    </xf>
    <xf numFmtId="0" fontId="9" fillId="7" borderId="43" xfId="0" applyFont="1" applyFill="1" applyBorder="1" applyAlignment="1">
      <alignment horizontal="center" vertical="center" wrapText="1"/>
    </xf>
    <xf numFmtId="0" fontId="18" fillId="7" borderId="44" xfId="0" applyFont="1" applyFill="1" applyBorder="1" applyAlignment="1">
      <alignment horizontal="left" vertical="center" wrapText="1"/>
    </xf>
    <xf numFmtId="3" fontId="18" fillId="7" borderId="44" xfId="4" applyNumberFormat="1" applyFont="1" applyFill="1" applyBorder="1" applyAlignment="1">
      <alignment horizontal="center" vertical="center" wrapText="1"/>
    </xf>
    <xf numFmtId="3" fontId="8" fillId="0" borderId="1" xfId="4" applyNumberFormat="1" applyFont="1" applyFill="1" applyBorder="1" applyAlignment="1">
      <alignment horizontal="right" vertical="center" wrapText="1"/>
    </xf>
    <xf numFmtId="3" fontId="9" fillId="0" borderId="1" xfId="4" applyNumberFormat="1" applyFont="1" applyFill="1" applyBorder="1" applyAlignment="1">
      <alignment horizontal="right" vertical="center" wrapText="1"/>
    </xf>
    <xf numFmtId="41" fontId="9" fillId="0" borderId="1" xfId="4" applyNumberFormat="1" applyFont="1" applyFill="1" applyBorder="1" applyAlignment="1">
      <alignment horizontal="right" vertical="center" wrapText="1"/>
    </xf>
    <xf numFmtId="3" fontId="16" fillId="0" borderId="14" xfId="4" applyNumberFormat="1" applyFont="1" applyBorder="1" applyAlignment="1">
      <alignment horizontal="right" vertical="center"/>
    </xf>
    <xf numFmtId="3" fontId="18" fillId="0" borderId="2" xfId="0" applyNumberFormat="1" applyFont="1" applyBorder="1" applyAlignment="1">
      <alignment horizontal="right" vertical="center"/>
    </xf>
    <xf numFmtId="41" fontId="8" fillId="0" borderId="1" xfId="4" applyNumberFormat="1" applyFont="1" applyFill="1" applyBorder="1" applyAlignment="1">
      <alignment horizontal="right" vertical="center" wrapText="1"/>
    </xf>
    <xf numFmtId="3" fontId="8" fillId="0" borderId="8" xfId="0" applyNumberFormat="1" applyFont="1" applyBorder="1" applyAlignment="1">
      <alignment horizontal="right" vertical="center" wrapText="1"/>
    </xf>
    <xf numFmtId="3" fontId="9" fillId="0" borderId="8" xfId="0" applyNumberFormat="1" applyFont="1" applyBorder="1" applyAlignment="1">
      <alignment horizontal="right" vertical="center" wrapText="1"/>
    </xf>
    <xf numFmtId="3" fontId="8" fillId="0" borderId="1" xfId="0" applyNumberFormat="1" applyFont="1" applyBorder="1" applyAlignment="1">
      <alignment horizontal="right" vertical="center" wrapText="1"/>
    </xf>
    <xf numFmtId="3" fontId="9" fillId="0" borderId="1" xfId="0" applyNumberFormat="1" applyFont="1" applyBorder="1" applyAlignment="1">
      <alignment horizontal="right" vertical="center" wrapText="1"/>
    </xf>
    <xf numFmtId="41" fontId="9" fillId="0" borderId="1" xfId="0" applyNumberFormat="1" applyFont="1" applyBorder="1" applyAlignment="1">
      <alignment horizontal="right" vertical="center" wrapText="1"/>
    </xf>
    <xf numFmtId="41" fontId="18" fillId="0" borderId="2" xfId="0" applyNumberFormat="1" applyFont="1" applyBorder="1" applyAlignment="1">
      <alignment horizontal="right" vertical="center"/>
    </xf>
    <xf numFmtId="3" fontId="18" fillId="0" borderId="1" xfId="0" applyNumberFormat="1" applyFont="1" applyBorder="1" applyAlignment="1">
      <alignment horizontal="right" vertical="center"/>
    </xf>
    <xf numFmtId="41" fontId="18" fillId="0" borderId="1" xfId="0" applyNumberFormat="1" applyFont="1" applyBorder="1" applyAlignment="1">
      <alignment horizontal="right" vertical="center"/>
    </xf>
    <xf numFmtId="0" fontId="10" fillId="0" borderId="3" xfId="0" applyFont="1" applyBorder="1" applyAlignment="1">
      <alignment horizontal="center" vertical="center" wrapText="1"/>
    </xf>
    <xf numFmtId="0" fontId="8" fillId="0" borderId="3" xfId="0" applyFont="1" applyBorder="1" applyAlignment="1">
      <alignment horizontal="center" vertical="center" wrapText="1"/>
    </xf>
    <xf numFmtId="3" fontId="8" fillId="0" borderId="3" xfId="0" applyNumberFormat="1" applyFont="1" applyBorder="1" applyAlignment="1">
      <alignment horizontal="center" vertical="center" wrapText="1"/>
    </xf>
    <xf numFmtId="41" fontId="8" fillId="0" borderId="1" xfId="4" applyNumberFormat="1" applyFont="1" applyBorder="1" applyAlignment="1">
      <alignment horizontal="center" vertical="center" wrapText="1"/>
    </xf>
    <xf numFmtId="0" fontId="32" fillId="12" borderId="45" xfId="0" applyFont="1" applyFill="1" applyBorder="1" applyAlignment="1">
      <alignment horizontal="center" vertical="center" wrapText="1"/>
    </xf>
    <xf numFmtId="41" fontId="18" fillId="7" borderId="44" xfId="4" applyNumberFormat="1" applyFont="1" applyFill="1" applyBorder="1" applyAlignment="1">
      <alignment horizontal="center" vertical="center" wrapText="1"/>
    </xf>
    <xf numFmtId="0" fontId="16" fillId="0" borderId="4" xfId="0" applyFont="1" applyBorder="1" applyAlignment="1">
      <alignment horizontal="center" vertical="center"/>
    </xf>
    <xf numFmtId="0" fontId="18" fillId="0" borderId="3" xfId="0" applyFont="1" applyBorder="1" applyAlignment="1">
      <alignment horizontal="center" vertical="center" wrapText="1"/>
    </xf>
    <xf numFmtId="3" fontId="10" fillId="0" borderId="3" xfId="4" applyNumberFormat="1" applyFont="1" applyBorder="1" applyAlignment="1">
      <alignment horizontal="center" vertical="center"/>
    </xf>
    <xf numFmtId="0" fontId="16" fillId="0" borderId="3" xfId="0" applyFont="1" applyBorder="1" applyAlignment="1">
      <alignment horizontal="center" vertical="center"/>
    </xf>
    <xf numFmtId="0" fontId="10" fillId="0" borderId="3" xfId="0" applyFont="1" applyBorder="1"/>
    <xf numFmtId="41" fontId="18" fillId="7" borderId="44" xfId="0" applyNumberFormat="1" applyFont="1" applyFill="1" applyBorder="1" applyAlignment="1">
      <alignment horizontal="center" vertical="center" wrapText="1"/>
    </xf>
    <xf numFmtId="3" fontId="33" fillId="0" borderId="1" xfId="0" applyNumberFormat="1" applyFont="1" applyBorder="1" applyAlignment="1">
      <alignment horizontal="center" vertical="center" wrapText="1"/>
    </xf>
    <xf numFmtId="0" fontId="9" fillId="0" borderId="3" xfId="0" applyFont="1" applyBorder="1" applyAlignment="1">
      <alignment horizontal="left" vertical="center" wrapText="1"/>
    </xf>
    <xf numFmtId="41" fontId="0" fillId="0" borderId="0" xfId="0" applyNumberFormat="1" applyAlignment="1">
      <alignment horizontal="center" vertical="center"/>
    </xf>
    <xf numFmtId="0" fontId="9" fillId="7" borderId="5" xfId="0" applyFont="1" applyFill="1" applyBorder="1" applyAlignment="1">
      <alignment horizontal="center" vertical="center" wrapText="1"/>
    </xf>
    <xf numFmtId="0" fontId="10" fillId="7" borderId="1" xfId="0" applyFont="1" applyFill="1" applyBorder="1" applyAlignment="1">
      <alignment vertical="top" wrapText="1"/>
    </xf>
    <xf numFmtId="0" fontId="32" fillId="7" borderId="1" xfId="0" applyFont="1" applyFill="1" applyBorder="1" applyAlignment="1">
      <alignment horizontal="left" vertical="center" wrapText="1"/>
    </xf>
    <xf numFmtId="0" fontId="32"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32" fillId="7" borderId="41" xfId="0" applyFont="1" applyFill="1" applyBorder="1" applyAlignment="1">
      <alignment horizontal="center" wrapText="1"/>
    </xf>
    <xf numFmtId="0" fontId="32" fillId="7" borderId="1" xfId="0" applyFont="1" applyFill="1" applyBorder="1" applyAlignment="1">
      <alignment horizontal="center" wrapText="1"/>
    </xf>
    <xf numFmtId="3" fontId="8" fillId="7" borderId="1" xfId="0" applyNumberFormat="1" applyFont="1" applyFill="1" applyBorder="1" applyAlignment="1">
      <alignment horizontal="center" vertical="center" wrapText="1"/>
    </xf>
    <xf numFmtId="3" fontId="8" fillId="7" borderId="1" xfId="4" applyNumberFormat="1" applyFont="1" applyFill="1" applyBorder="1" applyAlignment="1">
      <alignment horizontal="center" vertical="center" wrapText="1"/>
    </xf>
    <xf numFmtId="0" fontId="10" fillId="7" borderId="1" xfId="0" applyFont="1" applyFill="1" applyBorder="1" applyAlignment="1">
      <alignment vertical="center" wrapText="1"/>
    </xf>
    <xf numFmtId="0" fontId="10" fillId="7" borderId="1" xfId="0" applyFont="1" applyFill="1" applyBorder="1" applyAlignment="1">
      <alignment horizontal="center" vertical="center" wrapText="1"/>
    </xf>
    <xf numFmtId="41" fontId="8" fillId="7" borderId="14" xfId="4" applyNumberFormat="1" applyFont="1" applyFill="1" applyBorder="1" applyAlignment="1">
      <alignment horizontal="center" vertical="center" wrapText="1"/>
    </xf>
    <xf numFmtId="0" fontId="32" fillId="7" borderId="15" xfId="0" applyFont="1" applyFill="1" applyBorder="1" applyAlignment="1">
      <alignment horizontal="center" vertical="center" wrapText="1"/>
    </xf>
    <xf numFmtId="0" fontId="32" fillId="7" borderId="8" xfId="0" applyFont="1" applyFill="1" applyBorder="1" applyAlignment="1">
      <alignment horizontal="center" vertical="center" wrapText="1"/>
    </xf>
    <xf numFmtId="41" fontId="32" fillId="7" borderId="14" xfId="4" applyNumberFormat="1" applyFont="1" applyFill="1" applyBorder="1" applyAlignment="1">
      <alignment horizontal="center" vertical="center" wrapText="1"/>
    </xf>
    <xf numFmtId="3" fontId="10" fillId="7" borderId="1" xfId="0" applyNumberFormat="1" applyFont="1" applyFill="1" applyBorder="1" applyAlignment="1">
      <alignment horizontal="center" vertical="center"/>
    </xf>
    <xf numFmtId="0" fontId="9" fillId="7" borderId="4" xfId="0" applyFont="1" applyFill="1" applyBorder="1" applyAlignment="1">
      <alignment horizontal="center" vertical="center" wrapText="1"/>
    </xf>
    <xf numFmtId="0" fontId="10" fillId="7" borderId="3" xfId="0" applyFont="1" applyFill="1" applyBorder="1" applyAlignment="1">
      <alignment vertical="top" wrapText="1"/>
    </xf>
    <xf numFmtId="0" fontId="32" fillId="7" borderId="3"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0" xfId="0" applyFont="1" applyFill="1" applyAlignment="1">
      <alignment horizontal="center" vertical="center" wrapText="1"/>
    </xf>
    <xf numFmtId="3" fontId="8" fillId="7" borderId="3" xfId="0" applyNumberFormat="1" applyFont="1" applyFill="1" applyBorder="1" applyAlignment="1">
      <alignment horizontal="center" vertical="center" wrapText="1"/>
    </xf>
    <xf numFmtId="3" fontId="8" fillId="7" borderId="3" xfId="4" applyNumberFormat="1" applyFont="1" applyFill="1" applyBorder="1" applyAlignment="1">
      <alignment horizontal="center" vertical="center" wrapText="1"/>
    </xf>
    <xf numFmtId="3" fontId="10" fillId="7" borderId="1" xfId="0" applyNumberFormat="1" applyFont="1" applyFill="1" applyBorder="1" applyAlignment="1">
      <alignment horizontal="center" vertical="center" wrapText="1"/>
    </xf>
    <xf numFmtId="0" fontId="18" fillId="7" borderId="1" xfId="0" applyFont="1" applyFill="1" applyBorder="1" applyAlignment="1">
      <alignment horizontal="center" vertical="center" wrapText="1"/>
    </xf>
    <xf numFmtId="0" fontId="32" fillId="7" borderId="45" xfId="0" applyFont="1" applyFill="1" applyBorder="1" applyAlignment="1">
      <alignment horizontal="center" vertical="center" wrapText="1"/>
    </xf>
    <xf numFmtId="0" fontId="16" fillId="7" borderId="5" xfId="0" applyFont="1" applyFill="1" applyBorder="1" applyAlignment="1">
      <alignment horizontal="center" vertical="center"/>
    </xf>
    <xf numFmtId="0" fontId="10" fillId="7" borderId="1" xfId="0" applyFont="1" applyFill="1" applyBorder="1"/>
    <xf numFmtId="0" fontId="9" fillId="7" borderId="1" xfId="0" applyFont="1" applyFill="1" applyBorder="1" applyAlignment="1">
      <alignment horizontal="center" vertical="center" wrapText="1"/>
    </xf>
    <xf numFmtId="41" fontId="8" fillId="7" borderId="1" xfId="4" applyNumberFormat="1" applyFont="1" applyFill="1" applyBorder="1" applyAlignment="1">
      <alignment horizontal="center" vertical="center" wrapText="1"/>
    </xf>
    <xf numFmtId="3" fontId="10" fillId="7" borderId="1" xfId="4" applyNumberFormat="1" applyFont="1" applyFill="1" applyBorder="1" applyAlignment="1">
      <alignment horizontal="center" vertical="center"/>
    </xf>
    <xf numFmtId="0" fontId="16" fillId="7" borderId="1" xfId="0" applyFont="1" applyFill="1" applyBorder="1" applyAlignment="1">
      <alignment horizontal="center" vertical="center"/>
    </xf>
    <xf numFmtId="3" fontId="10" fillId="7" borderId="47" xfId="0" applyNumberFormat="1" applyFont="1" applyFill="1" applyBorder="1" applyAlignment="1">
      <alignment horizontal="center" vertical="center"/>
    </xf>
    <xf numFmtId="0" fontId="10" fillId="7" borderId="1" xfId="0" applyFont="1" applyFill="1" applyBorder="1" applyAlignment="1">
      <alignment wrapText="1"/>
    </xf>
    <xf numFmtId="0" fontId="32" fillId="7" borderId="47" xfId="0" applyFont="1" applyFill="1" applyBorder="1" applyAlignment="1">
      <alignment horizontal="center" vertical="center" wrapText="1"/>
    </xf>
    <xf numFmtId="0" fontId="9" fillId="7" borderId="1" xfId="0" applyFont="1" applyFill="1" applyBorder="1" applyAlignment="1">
      <alignment horizontal="left" vertical="center" wrapText="1"/>
    </xf>
    <xf numFmtId="3" fontId="33" fillId="7" borderId="1" xfId="0" applyNumberFormat="1" applyFont="1" applyFill="1" applyBorder="1" applyAlignment="1">
      <alignment horizontal="center" vertical="center" wrapText="1"/>
    </xf>
    <xf numFmtId="0" fontId="16" fillId="7" borderId="5" xfId="0" applyFont="1" applyFill="1" applyBorder="1" applyAlignment="1">
      <alignment horizontal="center" vertical="center" wrapText="1"/>
    </xf>
    <xf numFmtId="3" fontId="33" fillId="7" borderId="1" xfId="4" applyNumberFormat="1" applyFont="1" applyFill="1" applyBorder="1" applyAlignment="1">
      <alignment horizontal="center" vertical="center" wrapText="1"/>
    </xf>
    <xf numFmtId="3" fontId="33" fillId="7" borderId="1" xfId="4" applyNumberFormat="1" applyFont="1" applyFill="1" applyBorder="1" applyAlignment="1">
      <alignment horizontal="center" vertical="center"/>
    </xf>
    <xf numFmtId="0" fontId="16" fillId="7" borderId="1" xfId="0" applyFont="1" applyFill="1" applyBorder="1" applyAlignment="1">
      <alignment horizontal="center" vertical="center" wrapText="1"/>
    </xf>
    <xf numFmtId="0" fontId="10" fillId="7" borderId="1" xfId="0" applyFont="1" applyFill="1" applyBorder="1" applyAlignment="1">
      <alignment horizontal="center" vertical="center"/>
    </xf>
    <xf numFmtId="0" fontId="16" fillId="7" borderId="4" xfId="0" applyFont="1" applyFill="1" applyBorder="1" applyAlignment="1">
      <alignment horizontal="center" vertical="center"/>
    </xf>
    <xf numFmtId="0" fontId="10" fillId="7" borderId="3" xfId="0" applyFont="1" applyFill="1" applyBorder="1"/>
    <xf numFmtId="3" fontId="10" fillId="7" borderId="3" xfId="0" applyNumberFormat="1" applyFont="1" applyFill="1" applyBorder="1" applyAlignment="1">
      <alignment horizontal="center" vertical="center"/>
    </xf>
    <xf numFmtId="41" fontId="8" fillId="7" borderId="48" xfId="4" applyNumberFormat="1" applyFont="1" applyFill="1" applyBorder="1" applyAlignment="1">
      <alignment horizontal="center" vertical="center" wrapText="1"/>
    </xf>
    <xf numFmtId="0" fontId="10" fillId="0" borderId="8" xfId="0" applyFont="1" applyBorder="1" applyAlignment="1">
      <alignment horizontal="center"/>
    </xf>
    <xf numFmtId="0" fontId="10" fillId="13" borderId="1" xfId="0" applyFont="1" applyFill="1" applyBorder="1" applyAlignment="1">
      <alignment vertical="center" wrapText="1"/>
    </xf>
    <xf numFmtId="0" fontId="32" fillId="13" borderId="1" xfId="0" applyFont="1" applyFill="1" applyBorder="1" applyAlignment="1">
      <alignment horizontal="center" vertical="center" wrapText="1"/>
    </xf>
    <xf numFmtId="0" fontId="10" fillId="13"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3" fontId="8" fillId="13" borderId="1" xfId="0" applyNumberFormat="1" applyFont="1" applyFill="1" applyBorder="1" applyAlignment="1">
      <alignment horizontal="center" vertical="center" wrapText="1"/>
    </xf>
    <xf numFmtId="41" fontId="8" fillId="13" borderId="1" xfId="4" applyNumberFormat="1" applyFont="1" applyFill="1" applyBorder="1" applyAlignment="1">
      <alignment horizontal="center" vertical="center" wrapText="1"/>
    </xf>
    <xf numFmtId="0" fontId="16" fillId="13" borderId="1" xfId="0" applyFont="1" applyFill="1" applyBorder="1" applyAlignment="1">
      <alignment horizontal="center" vertical="center" wrapText="1"/>
    </xf>
    <xf numFmtId="3" fontId="10" fillId="13" borderId="1" xfId="0" applyNumberFormat="1" applyFont="1" applyFill="1" applyBorder="1" applyAlignment="1">
      <alignment horizontal="center" vertical="center" wrapText="1"/>
    </xf>
    <xf numFmtId="0" fontId="18" fillId="7" borderId="1" xfId="0" applyFont="1" applyFill="1" applyBorder="1" applyAlignment="1">
      <alignment horizontal="left" vertical="center" wrapText="1"/>
    </xf>
    <xf numFmtId="3" fontId="18" fillId="7" borderId="1" xfId="4" applyNumberFormat="1" applyFont="1" applyFill="1" applyBorder="1" applyAlignment="1">
      <alignment horizontal="center" vertical="center" wrapText="1"/>
    </xf>
    <xf numFmtId="41" fontId="18" fillId="7" borderId="1" xfId="4" applyNumberFormat="1" applyFont="1" applyFill="1" applyBorder="1" applyAlignment="1">
      <alignment horizontal="center" vertical="center" wrapText="1"/>
    </xf>
    <xf numFmtId="165" fontId="8" fillId="0" borderId="1" xfId="4" applyNumberFormat="1" applyFont="1" applyBorder="1" applyAlignment="1">
      <alignment horizontal="center" vertical="center" wrapText="1"/>
    </xf>
    <xf numFmtId="0" fontId="34" fillId="0" borderId="0" xfId="0" applyFont="1" applyAlignment="1">
      <alignment horizontal="center"/>
    </xf>
    <xf numFmtId="0" fontId="35" fillId="0" borderId="0" xfId="0" applyFont="1"/>
    <xf numFmtId="0" fontId="35" fillId="0" borderId="0" xfId="0" applyFont="1" applyAlignment="1">
      <alignment horizontal="center"/>
    </xf>
    <xf numFmtId="3" fontId="35" fillId="0" borderId="0" xfId="0" applyNumberFormat="1" applyFont="1" applyAlignment="1">
      <alignment horizontal="center" vertical="center"/>
    </xf>
    <xf numFmtId="41" fontId="35" fillId="0" borderId="0" xfId="0" applyNumberFormat="1" applyFont="1" applyAlignment="1">
      <alignment horizontal="center" vertical="center"/>
    </xf>
    <xf numFmtId="43" fontId="35" fillId="0" borderId="0" xfId="0" applyNumberFormat="1" applyFont="1"/>
    <xf numFmtId="166" fontId="36" fillId="0" borderId="0" xfId="0" applyNumberFormat="1" applyFont="1" applyAlignment="1">
      <alignment horizontal="center" vertical="center"/>
    </xf>
    <xf numFmtId="166" fontId="0" fillId="0" borderId="0" xfId="0" applyNumberFormat="1"/>
    <xf numFmtId="3" fontId="37" fillId="4" borderId="1" xfId="3" applyNumberFormat="1" applyFont="1" applyBorder="1" applyAlignment="1">
      <alignment horizontal="center" vertical="center"/>
    </xf>
    <xf numFmtId="166" fontId="37" fillId="4" borderId="1" xfId="3" applyNumberFormat="1" applyFont="1" applyBorder="1" applyAlignment="1">
      <alignment horizontal="center" vertical="center"/>
    </xf>
    <xf numFmtId="0" fontId="16" fillId="0" borderId="3" xfId="0" applyFont="1" applyBorder="1" applyAlignment="1">
      <alignment horizontal="center" vertical="center" wrapText="1"/>
    </xf>
    <xf numFmtId="3" fontId="16" fillId="0" borderId="3" xfId="0" applyNumberFormat="1" applyFont="1" applyBorder="1" applyAlignment="1">
      <alignment horizontal="center" vertical="center" wrapText="1"/>
    </xf>
    <xf numFmtId="3" fontId="16" fillId="0" borderId="3" xfId="0" applyNumberFormat="1" applyFont="1" applyBorder="1" applyAlignment="1">
      <alignment horizontal="center" vertical="center"/>
    </xf>
    <xf numFmtId="3" fontId="9" fillId="0" borderId="52" xfId="0" applyNumberFormat="1" applyFont="1" applyBorder="1" applyAlignment="1">
      <alignment horizontal="center" vertical="center" wrapText="1"/>
    </xf>
    <xf numFmtId="0" fontId="27" fillId="0" borderId="1" xfId="0" applyFont="1" applyBorder="1" applyAlignment="1">
      <alignment vertical="center" wrapText="1"/>
    </xf>
    <xf numFmtId="0" fontId="32" fillId="12" borderId="8" xfId="0" applyFont="1" applyFill="1" applyBorder="1" applyAlignment="1">
      <alignment horizontal="center" wrapText="1"/>
    </xf>
    <xf numFmtId="3" fontId="8" fillId="14" borderId="1" xfId="4" applyNumberFormat="1" applyFont="1" applyFill="1" applyBorder="1" applyAlignment="1">
      <alignment horizontal="center" vertical="center" wrapText="1"/>
    </xf>
    <xf numFmtId="0" fontId="16" fillId="7" borderId="1" xfId="0" applyFont="1" applyFill="1" applyBorder="1" applyAlignment="1">
      <alignment vertical="center" wrapText="1"/>
    </xf>
    <xf numFmtId="37" fontId="10" fillId="0" borderId="1" xfId="0" applyNumberFormat="1" applyFont="1" applyBorder="1" applyAlignment="1">
      <alignment horizontal="center"/>
    </xf>
    <xf numFmtId="41" fontId="8" fillId="0" borderId="14" xfId="4" applyNumberFormat="1" applyFont="1" applyFill="1" applyBorder="1" applyAlignment="1">
      <alignment horizontal="center" wrapText="1"/>
    </xf>
    <xf numFmtId="3" fontId="8" fillId="14" borderId="1" xfId="4" applyNumberFormat="1" applyFont="1" applyFill="1" applyBorder="1" applyAlignment="1">
      <alignment horizontal="center" wrapText="1"/>
    </xf>
    <xf numFmtId="3" fontId="8" fillId="14" borderId="1" xfId="0" applyNumberFormat="1" applyFont="1" applyFill="1" applyBorder="1" applyAlignment="1">
      <alignment horizontal="center" vertical="center" wrapText="1"/>
    </xf>
    <xf numFmtId="0" fontId="16" fillId="7" borderId="1" xfId="0" applyFont="1" applyFill="1" applyBorder="1" applyAlignment="1">
      <alignment horizontal="left" vertical="center" wrapText="1"/>
    </xf>
    <xf numFmtId="3" fontId="10" fillId="14" borderId="1" xfId="0" applyNumberFormat="1" applyFont="1" applyFill="1" applyBorder="1" applyAlignment="1">
      <alignment horizontal="center" vertical="center"/>
    </xf>
    <xf numFmtId="0" fontId="16" fillId="7" borderId="3" xfId="0" applyFont="1" applyFill="1" applyBorder="1" applyAlignment="1">
      <alignment vertical="center" wrapText="1"/>
    </xf>
    <xf numFmtId="3" fontId="10" fillId="14" borderId="1" xfId="0" applyNumberFormat="1" applyFont="1" applyFill="1" applyBorder="1" applyAlignment="1">
      <alignment horizontal="center" vertical="center" wrapText="1"/>
    </xf>
    <xf numFmtId="0" fontId="16" fillId="7" borderId="8" xfId="0" applyFont="1" applyFill="1" applyBorder="1" applyAlignment="1">
      <alignment vertical="center" wrapText="1"/>
    </xf>
    <xf numFmtId="0" fontId="16" fillId="7" borderId="45" xfId="0" applyFont="1" applyFill="1" applyBorder="1" applyAlignment="1">
      <alignment vertical="center" wrapText="1"/>
    </xf>
    <xf numFmtId="3" fontId="10" fillId="14" borderId="1" xfId="4" applyNumberFormat="1" applyFont="1" applyFill="1" applyBorder="1" applyAlignment="1">
      <alignment horizontal="center" vertical="center"/>
    </xf>
    <xf numFmtId="3" fontId="10" fillId="14" borderId="3" xfId="0" applyNumberFormat="1" applyFont="1" applyFill="1" applyBorder="1" applyAlignment="1">
      <alignment horizontal="center" vertical="center"/>
    </xf>
    <xf numFmtId="3" fontId="9" fillId="11" borderId="33" xfId="0" applyNumberFormat="1" applyFont="1" applyFill="1" applyBorder="1" applyAlignment="1">
      <alignment horizontal="center" vertical="center" wrapText="1"/>
    </xf>
    <xf numFmtId="3" fontId="9" fillId="11" borderId="32" xfId="0" applyNumberFormat="1" applyFont="1" applyFill="1" applyBorder="1" applyAlignment="1">
      <alignment horizontal="center" vertical="center" wrapText="1"/>
    </xf>
    <xf numFmtId="3" fontId="9" fillId="0" borderId="18" xfId="0" applyNumberFormat="1" applyFont="1" applyBorder="1" applyAlignment="1">
      <alignment horizontal="center" vertical="center" wrapText="1"/>
    </xf>
    <xf numFmtId="41" fontId="18" fillId="0" borderId="54" xfId="4" applyNumberFormat="1" applyFont="1" applyBorder="1" applyAlignment="1">
      <alignment horizontal="right" vertical="center"/>
    </xf>
    <xf numFmtId="3" fontId="8" fillId="0" borderId="27" xfId="4" applyNumberFormat="1" applyFont="1" applyFill="1" applyBorder="1" applyAlignment="1">
      <alignment horizontal="right" vertical="center" wrapText="1"/>
    </xf>
    <xf numFmtId="0" fontId="25" fillId="0" borderId="26" xfId="0" applyFont="1" applyBorder="1" applyAlignment="1">
      <alignment horizontal="left" vertical="center" wrapText="1"/>
    </xf>
    <xf numFmtId="0" fontId="33" fillId="0" borderId="27" xfId="0" applyFont="1" applyBorder="1" applyAlignment="1">
      <alignment horizontal="center" vertical="center" wrapText="1"/>
    </xf>
    <xf numFmtId="0" fontId="33" fillId="0" borderId="1" xfId="0" applyFont="1" applyBorder="1" applyAlignment="1">
      <alignment horizontal="center" vertical="center" wrapText="1"/>
    </xf>
    <xf numFmtId="41" fontId="18" fillId="0" borderId="2" xfId="4" applyNumberFormat="1" applyFont="1" applyBorder="1" applyAlignment="1">
      <alignment horizontal="right" vertical="center"/>
    </xf>
    <xf numFmtId="3" fontId="33" fillId="14" borderId="1" xfId="0" applyNumberFormat="1" applyFont="1" applyFill="1" applyBorder="1" applyAlignment="1">
      <alignment horizontal="center" vertical="center" wrapText="1"/>
    </xf>
    <xf numFmtId="3" fontId="10" fillId="7" borderId="8" xfId="4" applyNumberFormat="1" applyFont="1" applyFill="1" applyBorder="1" applyAlignment="1">
      <alignment horizontal="center" vertical="center"/>
    </xf>
    <xf numFmtId="3" fontId="33" fillId="7" borderId="8" xfId="0" applyNumberFormat="1" applyFont="1" applyFill="1" applyBorder="1" applyAlignment="1">
      <alignment horizontal="center" vertical="center" wrapText="1"/>
    </xf>
    <xf numFmtId="165" fontId="33" fillId="0" borderId="1" xfId="0" applyNumberFormat="1" applyFont="1" applyBorder="1" applyAlignment="1">
      <alignment horizontal="center" vertical="center" wrapText="1"/>
    </xf>
    <xf numFmtId="3" fontId="10" fillId="0" borderId="8" xfId="4" applyNumberFormat="1" applyFont="1" applyFill="1" applyBorder="1" applyAlignment="1">
      <alignment horizontal="center" vertical="center"/>
    </xf>
    <xf numFmtId="3" fontId="8" fillId="0" borderId="8" xfId="0" applyNumberFormat="1" applyFont="1" applyBorder="1" applyAlignment="1">
      <alignment horizontal="center" vertical="center" wrapText="1"/>
    </xf>
    <xf numFmtId="3" fontId="33" fillId="0" borderId="8" xfId="0" applyNumberFormat="1" applyFont="1" applyBorder="1" applyAlignment="1">
      <alignment horizontal="center" vertical="center" wrapText="1"/>
    </xf>
    <xf numFmtId="0" fontId="20" fillId="7" borderId="1" xfId="0" applyFont="1" applyFill="1" applyBorder="1" applyAlignment="1">
      <alignment horizontal="left" vertical="center" wrapText="1"/>
    </xf>
    <xf numFmtId="3" fontId="33" fillId="7" borderId="3" xfId="0" applyNumberFormat="1" applyFont="1" applyFill="1" applyBorder="1" applyAlignment="1">
      <alignment horizontal="center" vertical="center" wrapText="1"/>
    </xf>
    <xf numFmtId="3" fontId="10" fillId="7" borderId="47" xfId="4" applyNumberFormat="1" applyFont="1" applyFill="1" applyBorder="1" applyAlignment="1">
      <alignment horizontal="center" vertical="center"/>
    </xf>
    <xf numFmtId="3" fontId="33" fillId="7" borderId="47" xfId="0" applyNumberFormat="1" applyFont="1" applyFill="1" applyBorder="1" applyAlignment="1">
      <alignment horizontal="center" vertical="center" wrapText="1"/>
    </xf>
    <xf numFmtId="165" fontId="33" fillId="7" borderId="47" xfId="0" applyNumberFormat="1" applyFont="1" applyFill="1" applyBorder="1" applyAlignment="1">
      <alignment horizontal="center" vertical="center" wrapText="1"/>
    </xf>
    <xf numFmtId="165" fontId="33" fillId="7" borderId="1" xfId="0" applyNumberFormat="1" applyFont="1" applyFill="1" applyBorder="1" applyAlignment="1">
      <alignment horizontal="center" vertical="center" wrapText="1"/>
    </xf>
    <xf numFmtId="3" fontId="33" fillId="14" borderId="1" xfId="4" applyNumberFormat="1" applyFont="1" applyFill="1" applyBorder="1" applyAlignment="1">
      <alignment horizontal="center" vertical="center" wrapText="1"/>
    </xf>
    <xf numFmtId="41" fontId="8" fillId="0" borderId="47" xfId="4" applyNumberFormat="1" applyFont="1" applyBorder="1" applyAlignment="1">
      <alignment horizontal="center" vertical="center" wrapText="1"/>
    </xf>
    <xf numFmtId="3" fontId="33" fillId="14" borderId="1" xfId="4" applyNumberFormat="1" applyFont="1" applyFill="1" applyBorder="1" applyAlignment="1">
      <alignment horizontal="center" vertical="center"/>
    </xf>
    <xf numFmtId="3" fontId="33" fillId="0" borderId="3" xfId="4" applyNumberFormat="1" applyFont="1" applyFill="1" applyBorder="1" applyAlignment="1">
      <alignment horizontal="center" vertical="center"/>
    </xf>
    <xf numFmtId="3" fontId="33" fillId="0" borderId="3" xfId="4" applyNumberFormat="1" applyFont="1" applyBorder="1" applyAlignment="1">
      <alignment horizontal="center" vertical="center"/>
    </xf>
    <xf numFmtId="3" fontId="33" fillId="14" borderId="3" xfId="4" applyNumberFormat="1" applyFont="1" applyFill="1" applyBorder="1" applyAlignment="1">
      <alignment horizontal="center" vertical="center"/>
    </xf>
    <xf numFmtId="41" fontId="8" fillId="0" borderId="1" xfId="4" applyNumberFormat="1" applyFont="1" applyFill="1" applyBorder="1" applyAlignment="1">
      <alignment horizontal="center" vertical="center" wrapText="1"/>
    </xf>
    <xf numFmtId="3" fontId="10" fillId="7" borderId="1" xfId="4" applyNumberFormat="1" applyFont="1" applyFill="1" applyBorder="1" applyAlignment="1">
      <alignment horizontal="center" vertical="center" wrapText="1"/>
    </xf>
    <xf numFmtId="0" fontId="16" fillId="13" borderId="1" xfId="0" applyFont="1" applyFill="1" applyBorder="1" applyAlignment="1">
      <alignment vertical="center" wrapText="1"/>
    </xf>
    <xf numFmtId="3" fontId="18" fillId="0" borderId="10" xfId="0" applyNumberFormat="1" applyFont="1" applyBorder="1" applyAlignment="1">
      <alignment horizontal="right" vertical="center"/>
    </xf>
    <xf numFmtId="0" fontId="9" fillId="7" borderId="0" xfId="0" applyFont="1" applyFill="1" applyAlignment="1">
      <alignment vertical="center" wrapText="1"/>
    </xf>
    <xf numFmtId="0" fontId="9" fillId="0" borderId="55" xfId="0" applyFont="1" applyBorder="1" applyAlignment="1">
      <alignment horizontal="center" vertical="center" wrapText="1"/>
    </xf>
    <xf numFmtId="3" fontId="10" fillId="0" borderId="8" xfId="0" applyNumberFormat="1" applyFont="1" applyBorder="1" applyAlignment="1">
      <alignment horizontal="center" vertical="center"/>
    </xf>
    <xf numFmtId="3" fontId="10" fillId="0" borderId="56" xfId="0" applyNumberFormat="1" applyFont="1" applyBorder="1" applyAlignment="1">
      <alignment horizontal="center" vertical="center"/>
    </xf>
    <xf numFmtId="3" fontId="9" fillId="0" borderId="1" xfId="0" applyNumberFormat="1" applyFont="1" applyBorder="1" applyAlignment="1">
      <alignment horizontal="center" vertical="center" wrapText="1"/>
    </xf>
    <xf numFmtId="3" fontId="18" fillId="0" borderId="54" xfId="0" applyNumberFormat="1" applyFont="1" applyBorder="1" applyAlignment="1">
      <alignment horizontal="center" vertical="center"/>
    </xf>
    <xf numFmtId="3" fontId="9" fillId="11" borderId="1" xfId="0" applyNumberFormat="1" applyFont="1" applyFill="1" applyBorder="1" applyAlignment="1">
      <alignment horizontal="center" vertical="center" wrapText="1"/>
    </xf>
    <xf numFmtId="3" fontId="9" fillId="0" borderId="1" xfId="0" applyNumberFormat="1" applyFont="1" applyBorder="1" applyAlignment="1">
      <alignment horizontal="left" vertical="center" wrapText="1"/>
    </xf>
    <xf numFmtId="3" fontId="9" fillId="11" borderId="1" xfId="0" applyNumberFormat="1" applyFont="1" applyFill="1" applyBorder="1" applyAlignment="1">
      <alignment horizontal="left" vertical="center" wrapText="1"/>
    </xf>
    <xf numFmtId="3" fontId="9" fillId="0" borderId="14" xfId="0" applyNumberFormat="1" applyFont="1" applyBorder="1" applyAlignment="1">
      <alignment horizontal="left" vertical="center" wrapText="1"/>
    </xf>
    <xf numFmtId="166" fontId="0" fillId="0" borderId="0" xfId="0" applyNumberFormat="1" applyAlignment="1">
      <alignment horizontal="center" vertical="center"/>
    </xf>
    <xf numFmtId="3" fontId="36" fillId="0" borderId="0" xfId="0" applyNumberFormat="1" applyFont="1" applyAlignment="1">
      <alignment horizontal="center" vertical="center"/>
    </xf>
    <xf numFmtId="37" fontId="6" fillId="0" borderId="0" xfId="4" applyNumberFormat="1" applyFont="1" applyAlignment="1">
      <alignment horizontal="center" vertical="center"/>
    </xf>
    <xf numFmtId="3" fontId="9" fillId="0" borderId="27" xfId="4" applyNumberFormat="1" applyFont="1" applyFill="1" applyBorder="1" applyAlignment="1">
      <alignment horizontal="right" vertical="center" wrapText="1"/>
    </xf>
    <xf numFmtId="41" fontId="9" fillId="0" borderId="27" xfId="4" applyNumberFormat="1" applyFont="1" applyFill="1" applyBorder="1" applyAlignment="1">
      <alignment horizontal="right" vertical="center" wrapText="1"/>
    </xf>
    <xf numFmtId="3" fontId="16" fillId="0" borderId="28" xfId="4" applyNumberFormat="1" applyFont="1" applyBorder="1" applyAlignment="1">
      <alignment horizontal="right" vertical="center"/>
    </xf>
    <xf numFmtId="41" fontId="39" fillId="0" borderId="0" xfId="0" applyNumberFormat="1" applyFont="1" applyAlignment="1">
      <alignment horizontal="center" vertical="center"/>
    </xf>
    <xf numFmtId="41" fontId="0" fillId="0" borderId="0" xfId="0" applyNumberFormat="1"/>
    <xf numFmtId="41" fontId="18" fillId="7" borderId="53" xfId="4" applyNumberFormat="1" applyFont="1" applyFill="1" applyBorder="1" applyAlignment="1">
      <alignment horizontal="center" vertical="center" wrapText="1"/>
    </xf>
    <xf numFmtId="165" fontId="8" fillId="0" borderId="1" xfId="4" applyNumberFormat="1" applyFont="1" applyFill="1" applyBorder="1" applyAlignment="1">
      <alignment horizontal="center" vertical="center" wrapText="1"/>
    </xf>
    <xf numFmtId="0" fontId="10" fillId="0" borderId="27" xfId="0" applyFont="1" applyBorder="1" applyAlignment="1">
      <alignment horizontal="center" vertical="center" wrapText="1"/>
    </xf>
    <xf numFmtId="0" fontId="10" fillId="0" borderId="8" xfId="0" applyFont="1" applyBorder="1" applyAlignment="1">
      <alignment horizontal="center" vertical="center"/>
    </xf>
    <xf numFmtId="0" fontId="10" fillId="0" borderId="8" xfId="0" applyFont="1" applyBorder="1" applyAlignment="1">
      <alignment horizontal="center" vertical="center" wrapText="1"/>
    </xf>
    <xf numFmtId="0" fontId="42" fillId="0" borderId="1" xfId="0" applyFont="1" applyBorder="1" applyAlignment="1">
      <alignment horizontal="justify" vertical="center"/>
    </xf>
    <xf numFmtId="0" fontId="27" fillId="0" borderId="1" xfId="0" applyFont="1" applyBorder="1" applyAlignment="1">
      <alignment horizontal="justify" vertical="center"/>
    </xf>
    <xf numFmtId="0" fontId="27" fillId="0" borderId="2" xfId="0" applyFont="1" applyBorder="1" applyAlignment="1">
      <alignment horizontal="justify" vertical="center"/>
    </xf>
    <xf numFmtId="0" fontId="27" fillId="0" borderId="27" xfId="0" applyFont="1" applyBorder="1" applyAlignment="1">
      <alignment horizontal="center" vertical="center" wrapText="1"/>
    </xf>
    <xf numFmtId="0" fontId="27" fillId="0" borderId="1"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8" xfId="0" applyFont="1" applyBorder="1" applyAlignment="1">
      <alignment horizontal="justify" vertical="center"/>
    </xf>
    <xf numFmtId="0" fontId="27" fillId="0" borderId="3" xfId="0" applyFont="1" applyBorder="1" applyAlignment="1">
      <alignment horizontal="justify" vertical="center"/>
    </xf>
    <xf numFmtId="0" fontId="27" fillId="0" borderId="8" xfId="0" applyFont="1" applyBorder="1" applyAlignment="1">
      <alignment horizontal="center" vertical="center" wrapText="1"/>
    </xf>
    <xf numFmtId="0" fontId="27" fillId="0" borderId="3" xfId="0" applyFont="1" applyBorder="1" applyAlignment="1">
      <alignment horizontal="center" vertical="center" wrapText="1"/>
    </xf>
    <xf numFmtId="0" fontId="32" fillId="7" borderId="8" xfId="0" applyFont="1" applyFill="1" applyBorder="1" applyAlignment="1">
      <alignment horizontal="center" vertical="center"/>
    </xf>
    <xf numFmtId="0" fontId="32" fillId="7" borderId="1" xfId="0" applyFont="1" applyFill="1" applyBorder="1" applyAlignment="1">
      <alignment horizontal="center" vertical="center"/>
    </xf>
    <xf numFmtId="0" fontId="32" fillId="7" borderId="3" xfId="0" applyFont="1" applyFill="1" applyBorder="1" applyAlignment="1">
      <alignment horizontal="center" vertical="center"/>
    </xf>
    <xf numFmtId="0" fontId="32" fillId="12" borderId="8" xfId="0" applyFont="1" applyFill="1" applyBorder="1" applyAlignment="1">
      <alignment horizontal="center" vertical="center"/>
    </xf>
    <xf numFmtId="0" fontId="32" fillId="12" borderId="1" xfId="0" applyFont="1" applyFill="1" applyBorder="1" applyAlignment="1">
      <alignment horizontal="center" vertical="center"/>
    </xf>
    <xf numFmtId="0" fontId="32" fillId="12" borderId="3" xfId="0" applyFont="1" applyFill="1" applyBorder="1" applyAlignment="1">
      <alignment horizontal="center" vertical="center"/>
    </xf>
    <xf numFmtId="0" fontId="32" fillId="12" borderId="57" xfId="0" applyFont="1" applyFill="1" applyBorder="1" applyAlignment="1">
      <alignment horizontal="center" vertical="center"/>
    </xf>
    <xf numFmtId="0" fontId="32" fillId="12" borderId="9" xfId="0" applyFont="1" applyFill="1" applyBorder="1" applyAlignment="1">
      <alignment horizontal="center" vertical="center"/>
    </xf>
    <xf numFmtId="0" fontId="32" fillId="12" borderId="58" xfId="0" applyFont="1" applyFill="1" applyBorder="1" applyAlignment="1">
      <alignment horizontal="center" vertical="center"/>
    </xf>
    <xf numFmtId="0" fontId="33" fillId="7" borderId="1" xfId="0" applyFont="1" applyFill="1" applyBorder="1" applyAlignment="1">
      <alignment horizontal="center" vertical="center" wrapText="1"/>
    </xf>
    <xf numFmtId="0" fontId="32" fillId="12" borderId="27" xfId="0" applyFont="1" applyFill="1" applyBorder="1" applyAlignment="1">
      <alignment horizontal="center" vertical="center"/>
    </xf>
    <xf numFmtId="0" fontId="10" fillId="0" borderId="27" xfId="0" applyFont="1" applyBorder="1" applyAlignment="1">
      <alignment horizontal="justify" vertical="center"/>
    </xf>
    <xf numFmtId="0" fontId="10" fillId="0" borderId="1" xfId="0" applyFont="1" applyBorder="1" applyAlignment="1">
      <alignment horizontal="justify" vertical="center"/>
    </xf>
    <xf numFmtId="0" fontId="10" fillId="0" borderId="3" xfId="0" applyFont="1" applyBorder="1" applyAlignment="1">
      <alignment horizontal="justify" vertical="center"/>
    </xf>
    <xf numFmtId="0" fontId="10" fillId="0" borderId="27" xfId="0" applyFont="1" applyBorder="1" applyAlignment="1">
      <alignment horizontal="justify"/>
    </xf>
    <xf numFmtId="0" fontId="10" fillId="0" borderId="1" xfId="0" applyFont="1" applyBorder="1" applyAlignment="1">
      <alignment horizontal="justify"/>
    </xf>
    <xf numFmtId="0" fontId="8" fillId="0" borderId="8" xfId="0" applyFont="1" applyBorder="1" applyAlignment="1">
      <alignment horizontal="center" vertical="center" wrapText="1"/>
    </xf>
    <xf numFmtId="3" fontId="8" fillId="0" borderId="8" xfId="4" applyNumberFormat="1" applyFont="1" applyBorder="1" applyAlignment="1">
      <alignment horizontal="center" vertical="center" wrapText="1"/>
    </xf>
    <xf numFmtId="3" fontId="8" fillId="0" borderId="8" xfId="4" applyNumberFormat="1" applyFont="1" applyFill="1" applyBorder="1" applyAlignment="1">
      <alignment horizontal="center" vertical="center" wrapText="1"/>
    </xf>
    <xf numFmtId="3" fontId="8" fillId="0" borderId="56" xfId="4" applyNumberFormat="1" applyFont="1" applyBorder="1" applyAlignment="1">
      <alignment horizontal="center" vertical="center" wrapText="1"/>
    </xf>
    <xf numFmtId="0" fontId="32" fillId="0" borderId="3" xfId="0" applyFont="1" applyBorder="1" applyAlignment="1">
      <alignment horizontal="left" vertical="center" wrapText="1"/>
    </xf>
    <xf numFmtId="0" fontId="10" fillId="7" borderId="1" xfId="0" applyFont="1" applyFill="1" applyBorder="1" applyAlignment="1">
      <alignment horizontal="justify" vertical="center"/>
    </xf>
    <xf numFmtId="37" fontId="10" fillId="7" borderId="1" xfId="0" applyNumberFormat="1" applyFont="1" applyFill="1" applyBorder="1" applyAlignment="1">
      <alignment horizontal="center" vertical="center"/>
    </xf>
    <xf numFmtId="0" fontId="30" fillId="7" borderId="1" xfId="0" applyFont="1" applyFill="1" applyBorder="1" applyAlignment="1">
      <alignment horizontal="center" vertical="center" wrapText="1"/>
    </xf>
    <xf numFmtId="0" fontId="10" fillId="7" borderId="3" xfId="0" applyFont="1" applyFill="1" applyBorder="1" applyAlignment="1">
      <alignment horizontal="justify"/>
    </xf>
    <xf numFmtId="0" fontId="27" fillId="7" borderId="3" xfId="0" applyFont="1" applyFill="1" applyBorder="1" applyAlignment="1">
      <alignment horizontal="center" vertical="center" wrapText="1"/>
    </xf>
    <xf numFmtId="0" fontId="10" fillId="0" borderId="28" xfId="0" applyFont="1" applyBorder="1" applyAlignment="1">
      <alignment horizontal="center" vertical="center" wrapText="1"/>
    </xf>
    <xf numFmtId="0" fontId="10" fillId="0" borderId="14" xfId="0" applyFont="1" applyBorder="1" applyAlignment="1">
      <alignment horizontal="center" vertical="center" wrapText="1"/>
    </xf>
    <xf numFmtId="0" fontId="10" fillId="7" borderId="59" xfId="0" applyFont="1" applyFill="1" applyBorder="1" applyAlignment="1">
      <alignment horizontal="center" vertical="center" wrapText="1"/>
    </xf>
    <xf numFmtId="0" fontId="10" fillId="7" borderId="3" xfId="0" applyFont="1" applyFill="1" applyBorder="1" applyAlignment="1">
      <alignment horizontal="center" vertical="center"/>
    </xf>
    <xf numFmtId="0" fontId="10" fillId="7" borderId="3" xfId="0" applyFont="1" applyFill="1" applyBorder="1" applyAlignment="1">
      <alignment horizontal="justify" vertical="center"/>
    </xf>
    <xf numFmtId="0" fontId="10" fillId="0" borderId="2" xfId="0" applyFont="1" applyBorder="1" applyAlignment="1">
      <alignment horizontal="justify" vertical="center"/>
    </xf>
    <xf numFmtId="0" fontId="32" fillId="12" borderId="2" xfId="0" applyFont="1" applyFill="1" applyBorder="1" applyAlignment="1">
      <alignment horizontal="center" vertical="center"/>
    </xf>
    <xf numFmtId="0" fontId="16" fillId="7" borderId="3" xfId="0" applyFont="1" applyFill="1" applyBorder="1" applyAlignment="1">
      <alignment horizontal="justify" vertical="center"/>
    </xf>
    <xf numFmtId="0" fontId="10" fillId="0" borderId="8" xfId="0" applyFont="1" applyBorder="1" applyAlignment="1">
      <alignment horizontal="justify" vertical="center"/>
    </xf>
    <xf numFmtId="0" fontId="10" fillId="0" borderId="1" xfId="0" applyFont="1" applyBorder="1" applyAlignment="1">
      <alignment horizontal="justify" vertical="center" wrapText="1"/>
    </xf>
    <xf numFmtId="0" fontId="10" fillId="0" borderId="3" xfId="0" applyFont="1" applyBorder="1" applyAlignment="1">
      <alignment wrapText="1"/>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61" xfId="0" applyFont="1" applyBorder="1" applyAlignment="1">
      <alignment horizontal="center" vertical="top"/>
    </xf>
    <xf numFmtId="0" fontId="10" fillId="0" borderId="1" xfId="0" applyFont="1" applyBorder="1" applyAlignment="1">
      <alignment horizontal="center" vertical="top"/>
    </xf>
    <xf numFmtId="0" fontId="10" fillId="7" borderId="1" xfId="16" applyFont="1" applyFill="1" applyBorder="1" applyAlignment="1">
      <alignment horizontal="center" vertical="center"/>
    </xf>
    <xf numFmtId="0" fontId="10" fillId="0" borderId="63" xfId="0" applyFont="1" applyBorder="1" applyAlignment="1">
      <alignment horizontal="center" vertical="center"/>
    </xf>
    <xf numFmtId="0" fontId="10" fillId="7" borderId="63" xfId="0" applyFont="1" applyFill="1" applyBorder="1" applyAlignment="1">
      <alignment horizontal="center" vertical="center"/>
    </xf>
    <xf numFmtId="0" fontId="18" fillId="7" borderId="8" xfId="0" applyFont="1" applyFill="1" applyBorder="1" applyAlignment="1">
      <alignment horizontal="center" vertical="center"/>
    </xf>
    <xf numFmtId="0" fontId="10" fillId="0" borderId="64"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5" xfId="0" applyFont="1" applyBorder="1" applyAlignment="1">
      <alignment horizontal="center" vertical="center" wrapText="1"/>
    </xf>
    <xf numFmtId="0" fontId="10" fillId="0" borderId="1" xfId="16" applyFont="1" applyBorder="1" applyAlignment="1">
      <alignment horizontal="justify" vertical="center"/>
    </xf>
    <xf numFmtId="0" fontId="10" fillId="0" borderId="3" xfId="16" applyFont="1" applyBorder="1" applyAlignment="1">
      <alignment horizontal="justify" vertical="center"/>
    </xf>
    <xf numFmtId="0" fontId="10" fillId="0" borderId="63" xfId="0" applyFont="1" applyBorder="1" applyAlignment="1">
      <alignment horizontal="center" vertical="center" wrapText="1"/>
    </xf>
    <xf numFmtId="0" fontId="10" fillId="7" borderId="1" xfId="16" applyFont="1" applyFill="1" applyBorder="1" applyAlignment="1">
      <alignment horizontal="justify" vertical="center"/>
    </xf>
    <xf numFmtId="0" fontId="10" fillId="0" borderId="66" xfId="0" applyFont="1" applyBorder="1" applyAlignment="1">
      <alignment horizontal="center" vertical="center" wrapText="1"/>
    </xf>
    <xf numFmtId="0" fontId="32" fillId="0" borderId="8" xfId="0" applyFont="1" applyBorder="1" applyAlignment="1">
      <alignment horizontal="left" vertical="center" wrapText="1"/>
    </xf>
    <xf numFmtId="0" fontId="16" fillId="7" borderId="1" xfId="16" applyFont="1" applyFill="1" applyBorder="1" applyAlignment="1">
      <alignment horizontal="justify" vertical="center"/>
    </xf>
    <xf numFmtId="0" fontId="27" fillId="7" borderId="1" xfId="0" applyFont="1" applyFill="1" applyBorder="1" applyAlignment="1">
      <alignment horizontal="center" vertical="center" wrapText="1"/>
    </xf>
    <xf numFmtId="0" fontId="10" fillId="0" borderId="8" xfId="16" applyFont="1" applyBorder="1" applyAlignment="1">
      <alignment horizontal="justify" vertical="center"/>
    </xf>
    <xf numFmtId="0" fontId="32" fillId="12" borderId="45" xfId="0" applyFont="1" applyFill="1" applyBorder="1" applyAlignment="1">
      <alignment horizontal="center" vertical="center"/>
    </xf>
    <xf numFmtId="0" fontId="32" fillId="12" borderId="15" xfId="0" applyFont="1" applyFill="1" applyBorder="1" applyAlignment="1">
      <alignment horizontal="center" vertical="center"/>
    </xf>
    <xf numFmtId="0" fontId="10" fillId="0" borderId="57" xfId="0" applyFont="1" applyBorder="1" applyAlignment="1">
      <alignment horizontal="justify" vertical="center"/>
    </xf>
    <xf numFmtId="0" fontId="10" fillId="0" borderId="9" xfId="0" applyFont="1" applyBorder="1" applyAlignment="1">
      <alignment horizontal="justify" vertical="center"/>
    </xf>
    <xf numFmtId="0" fontId="32" fillId="12" borderId="59" xfId="0" applyFont="1" applyFill="1" applyBorder="1" applyAlignment="1">
      <alignment horizontal="center" vertical="center"/>
    </xf>
    <xf numFmtId="0" fontId="32" fillId="12" borderId="8" xfId="0" applyFont="1" applyFill="1" applyBorder="1" applyAlignment="1">
      <alignment horizontal="center"/>
    </xf>
    <xf numFmtId="0" fontId="32" fillId="12" borderId="1" xfId="0" applyFont="1" applyFill="1" applyBorder="1" applyAlignment="1">
      <alignment horizontal="center"/>
    </xf>
    <xf numFmtId="0" fontId="32" fillId="12" borderId="2" xfId="0" applyFont="1" applyFill="1" applyBorder="1" applyAlignment="1">
      <alignment horizontal="center"/>
    </xf>
    <xf numFmtId="0" fontId="10" fillId="0" borderId="57" xfId="16" applyFont="1" applyBorder="1" applyAlignment="1">
      <alignment horizontal="justify" vertical="center"/>
    </xf>
    <xf numFmtId="0" fontId="10" fillId="0" borderId="9" xfId="16" applyFont="1" applyBorder="1" applyAlignment="1">
      <alignment horizontal="justify" vertical="center"/>
    </xf>
    <xf numFmtId="0" fontId="10" fillId="0" borderId="58" xfId="16" applyFont="1" applyBorder="1" applyAlignment="1">
      <alignment horizontal="justify" vertical="center"/>
    </xf>
    <xf numFmtId="0" fontId="10" fillId="0" borderId="4" xfId="16" applyFont="1" applyBorder="1" applyAlignment="1">
      <alignment horizontal="justify" vertical="center"/>
    </xf>
    <xf numFmtId="0" fontId="10" fillId="0" borderId="3" xfId="0" applyFont="1" applyBorder="1" applyAlignment="1">
      <alignment vertical="top" wrapText="1"/>
    </xf>
    <xf numFmtId="0" fontId="9" fillId="7" borderId="47"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18" fillId="7" borderId="3" xfId="0" applyFont="1" applyFill="1" applyBorder="1" applyAlignment="1">
      <alignment horizontal="left" vertical="center" wrapText="1"/>
    </xf>
    <xf numFmtId="0" fontId="9" fillId="7" borderId="3" xfId="0" applyFont="1" applyFill="1" applyBorder="1" applyAlignment="1">
      <alignment horizontal="left" vertical="center" wrapText="1"/>
    </xf>
    <xf numFmtId="3" fontId="18" fillId="7" borderId="47" xfId="4" applyNumberFormat="1" applyFont="1" applyFill="1" applyBorder="1" applyAlignment="1">
      <alignment horizontal="center" vertical="center" wrapText="1"/>
    </xf>
    <xf numFmtId="41" fontId="18" fillId="7" borderId="47" xfId="4" applyNumberFormat="1" applyFont="1" applyFill="1" applyBorder="1" applyAlignment="1">
      <alignment horizontal="center" vertical="center" wrapText="1"/>
    </xf>
    <xf numFmtId="0" fontId="11" fillId="0" borderId="1" xfId="0" applyFont="1" applyBorder="1"/>
    <xf numFmtId="3" fontId="18" fillId="0" borderId="1" xfId="4" applyNumberFormat="1" applyFont="1" applyFill="1" applyBorder="1" applyAlignment="1">
      <alignment horizontal="center" vertical="center" wrapText="1"/>
    </xf>
    <xf numFmtId="41" fontId="18" fillId="0" borderId="1" xfId="4" applyNumberFormat="1" applyFont="1" applyFill="1" applyBorder="1" applyAlignment="1">
      <alignment horizontal="center" vertical="center" wrapText="1"/>
    </xf>
    <xf numFmtId="0" fontId="33" fillId="0" borderId="9" xfId="16" applyFont="1" applyBorder="1" applyAlignment="1">
      <alignment horizontal="justify" vertical="center"/>
    </xf>
    <xf numFmtId="0" fontId="20" fillId="0" borderId="1" xfId="0" applyFont="1" applyBorder="1" applyAlignment="1">
      <alignment horizontal="left" vertical="center" wrapText="1"/>
    </xf>
    <xf numFmtId="0" fontId="45" fillId="0" borderId="1" xfId="0" applyFont="1" applyBorder="1" applyAlignment="1">
      <alignment horizontal="left" vertical="center" wrapText="1"/>
    </xf>
    <xf numFmtId="49" fontId="32" fillId="12" borderId="1" xfId="0" applyNumberFormat="1" applyFont="1" applyFill="1" applyBorder="1" applyAlignment="1">
      <alignment horizontal="center" vertical="center" wrapText="1"/>
    </xf>
    <xf numFmtId="3" fontId="18" fillId="14" borderId="1" xfId="4" applyNumberFormat="1" applyFont="1" applyFill="1" applyBorder="1" applyAlignment="1">
      <alignment horizontal="center" vertical="center" wrapText="1"/>
    </xf>
    <xf numFmtId="3" fontId="20" fillId="7" borderId="1" xfId="4" applyNumberFormat="1" applyFont="1" applyFill="1" applyBorder="1" applyAlignment="1">
      <alignment horizontal="center" vertical="center" wrapText="1"/>
    </xf>
    <xf numFmtId="41" fontId="20" fillId="7" borderId="1" xfId="4" applyNumberFormat="1" applyFont="1" applyFill="1" applyBorder="1" applyAlignment="1">
      <alignment horizontal="center" vertical="center" wrapText="1"/>
    </xf>
    <xf numFmtId="0" fontId="12" fillId="0" borderId="1" xfId="0" applyFont="1" applyBorder="1"/>
    <xf numFmtId="0" fontId="16" fillId="0" borderId="1" xfId="0" applyFont="1" applyBorder="1" applyAlignment="1">
      <alignment horizontal="left" vertical="center" wrapText="1"/>
    </xf>
    <xf numFmtId="3" fontId="16" fillId="7" borderId="1" xfId="4" applyNumberFormat="1" applyFont="1" applyFill="1" applyBorder="1" applyAlignment="1">
      <alignment horizontal="center" vertical="center" wrapText="1"/>
    </xf>
    <xf numFmtId="41" fontId="16" fillId="7" borderId="1" xfId="4" applyNumberFormat="1" applyFont="1" applyFill="1" applyBorder="1" applyAlignment="1">
      <alignment horizontal="center" vertical="center" wrapText="1"/>
    </xf>
    <xf numFmtId="0" fontId="11" fillId="7" borderId="1" xfId="0" applyFont="1" applyFill="1" applyBorder="1"/>
    <xf numFmtId="0" fontId="27" fillId="0" borderId="2" xfId="0" applyFont="1" applyBorder="1" applyAlignment="1">
      <alignment horizontal="center" vertical="center" wrapText="1"/>
    </xf>
    <xf numFmtId="0" fontId="10" fillId="0" borderId="57" xfId="0" applyFont="1" applyBorder="1" applyAlignment="1">
      <alignment horizontal="center" vertical="center" wrapText="1"/>
    </xf>
    <xf numFmtId="0" fontId="27" fillId="0" borderId="57" xfId="0" applyFont="1" applyBorder="1" applyAlignment="1">
      <alignment horizontal="justify" vertical="center"/>
    </xf>
    <xf numFmtId="0" fontId="27" fillId="0" borderId="4" xfId="0" applyFont="1" applyBorder="1" applyAlignment="1">
      <alignment horizontal="justify" vertical="center"/>
    </xf>
    <xf numFmtId="0" fontId="20" fillId="7" borderId="1" xfId="0" applyFont="1" applyFill="1" applyBorder="1" applyAlignment="1">
      <alignment horizontal="center" vertical="center" wrapText="1"/>
    </xf>
    <xf numFmtId="0" fontId="27" fillId="0" borderId="27" xfId="0" applyFont="1" applyBorder="1" applyAlignment="1">
      <alignment horizontal="justify" vertical="center"/>
    </xf>
    <xf numFmtId="0" fontId="27" fillId="7" borderId="27" xfId="0" applyFont="1" applyFill="1" applyBorder="1" applyAlignment="1">
      <alignment horizontal="center" vertical="center" wrapText="1"/>
    </xf>
    <xf numFmtId="0" fontId="27" fillId="7" borderId="28" xfId="0" applyFont="1" applyFill="1" applyBorder="1" applyAlignment="1">
      <alignment horizontal="center" vertical="center" wrapText="1"/>
    </xf>
    <xf numFmtId="0" fontId="46" fillId="0" borderId="1" xfId="0" applyFont="1" applyBorder="1"/>
    <xf numFmtId="0" fontId="47" fillId="0" borderId="0" xfId="0" applyFont="1"/>
    <xf numFmtId="0" fontId="46" fillId="0" borderId="0" xfId="0" applyFont="1"/>
    <xf numFmtId="0" fontId="27" fillId="0" borderId="64" xfId="0" applyFont="1" applyBorder="1" applyAlignment="1">
      <alignment horizontal="center" vertical="center" wrapText="1"/>
    </xf>
    <xf numFmtId="0" fontId="27" fillId="0" borderId="52" xfId="0" applyFont="1" applyBorder="1" applyAlignment="1">
      <alignment horizontal="center" vertical="center" wrapText="1"/>
    </xf>
    <xf numFmtId="0" fontId="32" fillId="12" borderId="3" xfId="0" applyFont="1" applyFill="1" applyBorder="1" applyAlignment="1">
      <alignment horizontal="center" vertical="center" wrapText="1"/>
    </xf>
    <xf numFmtId="0" fontId="27" fillId="7" borderId="8" xfId="0" applyFont="1" applyFill="1" applyBorder="1" applyAlignment="1">
      <alignment horizontal="center" vertical="center" wrapText="1"/>
    </xf>
    <xf numFmtId="49" fontId="32" fillId="12" borderId="8" xfId="0" applyNumberFormat="1" applyFont="1" applyFill="1" applyBorder="1" applyAlignment="1">
      <alignment horizontal="center" vertical="center" wrapText="1"/>
    </xf>
    <xf numFmtId="49" fontId="32" fillId="12" borderId="3" xfId="0" applyNumberFormat="1" applyFont="1" applyFill="1" applyBorder="1" applyAlignment="1">
      <alignment horizontal="center" vertical="center" wrapText="1"/>
    </xf>
    <xf numFmtId="0" fontId="27" fillId="0" borderId="2" xfId="0" applyFont="1" applyBorder="1" applyAlignment="1">
      <alignment horizontal="justify" vertical="center" wrapText="1"/>
    </xf>
    <xf numFmtId="0" fontId="27" fillId="7" borderId="59" xfId="0" applyFont="1" applyFill="1" applyBorder="1" applyAlignment="1">
      <alignment horizontal="center" vertical="center" wrapText="1"/>
    </xf>
    <xf numFmtId="49" fontId="32" fillId="7" borderId="3" xfId="0" applyNumberFormat="1" applyFont="1" applyFill="1" applyBorder="1" applyAlignment="1">
      <alignment horizontal="center" vertical="center" wrapText="1"/>
    </xf>
    <xf numFmtId="0" fontId="18" fillId="7" borderId="3" xfId="0" applyFont="1" applyFill="1" applyBorder="1" applyAlignment="1">
      <alignment horizontal="justify" vertical="center" wrapText="1"/>
    </xf>
    <xf numFmtId="0" fontId="27" fillId="0" borderId="59" xfId="0" applyFont="1" applyBorder="1" applyAlignment="1">
      <alignment horizontal="center" vertical="center" wrapText="1"/>
    </xf>
    <xf numFmtId="0" fontId="20" fillId="7" borderId="3" xfId="0" applyFont="1" applyFill="1" applyBorder="1" applyAlignment="1">
      <alignment horizontal="justify" vertical="center" wrapText="1"/>
    </xf>
    <xf numFmtId="0" fontId="27" fillId="0" borderId="61" xfId="0" applyFont="1" applyBorder="1" applyAlignment="1">
      <alignment horizontal="center" vertical="center" wrapText="1"/>
    </xf>
    <xf numFmtId="0" fontId="27" fillId="0" borderId="26" xfId="16" applyFont="1" applyBorder="1" applyAlignment="1">
      <alignment horizontal="justify" vertical="center"/>
    </xf>
    <xf numFmtId="0" fontId="27" fillId="0" borderId="5" xfId="16" applyFont="1" applyBorder="1" applyAlignment="1">
      <alignment horizontal="justify" vertical="center"/>
    </xf>
    <xf numFmtId="0" fontId="27" fillId="0" borderId="6" xfId="16" applyFont="1" applyBorder="1" applyAlignment="1">
      <alignment horizontal="justify" vertical="center"/>
    </xf>
    <xf numFmtId="41" fontId="33" fillId="7" borderId="1" xfId="4" applyNumberFormat="1" applyFont="1" applyFill="1" applyBorder="1" applyAlignment="1">
      <alignment horizontal="center" vertical="center" wrapText="1"/>
    </xf>
    <xf numFmtId="0" fontId="20" fillId="7" borderId="1" xfId="0" applyFont="1" applyFill="1" applyBorder="1" applyAlignment="1">
      <alignment horizontal="justify" vertical="center" wrapText="1"/>
    </xf>
    <xf numFmtId="0" fontId="27" fillId="0" borderId="1" xfId="0" applyFont="1" applyBorder="1" applyAlignment="1">
      <alignment horizontal="justify" vertical="top"/>
    </xf>
    <xf numFmtId="49" fontId="29" fillId="12" borderId="8" xfId="0" applyNumberFormat="1" applyFont="1" applyFill="1" applyBorder="1" applyAlignment="1">
      <alignment horizontal="center" vertical="center" wrapText="1"/>
    </xf>
    <xf numFmtId="49" fontId="29" fillId="12" borderId="1" xfId="0" applyNumberFormat="1" applyFont="1" applyFill="1" applyBorder="1" applyAlignment="1">
      <alignment horizontal="center" vertical="center" wrapText="1"/>
    </xf>
    <xf numFmtId="49" fontId="32" fillId="12" borderId="2" xfId="0" applyNumberFormat="1" applyFont="1" applyFill="1" applyBorder="1" applyAlignment="1">
      <alignment horizontal="center" vertical="center" wrapText="1"/>
    </xf>
    <xf numFmtId="0" fontId="49" fillId="0" borderId="1" xfId="0" applyFont="1" applyBorder="1" applyAlignment="1">
      <alignment horizontal="justify" vertical="center"/>
    </xf>
    <xf numFmtId="0" fontId="9" fillId="0" borderId="9" xfId="0" applyFont="1" applyBorder="1" applyAlignment="1">
      <alignment horizontal="center" vertical="center" wrapText="1"/>
    </xf>
    <xf numFmtId="0" fontId="9" fillId="7" borderId="9" xfId="0" applyFont="1" applyFill="1" applyBorder="1" applyAlignment="1">
      <alignment horizontal="center" vertical="center" wrapText="1"/>
    </xf>
    <xf numFmtId="0" fontId="18" fillId="7" borderId="1" xfId="0" applyFont="1" applyFill="1" applyBorder="1" applyAlignment="1">
      <alignment horizontal="justify" vertical="center"/>
    </xf>
    <xf numFmtId="49" fontId="29" fillId="7" borderId="1" xfId="0" applyNumberFormat="1" applyFont="1" applyFill="1" applyBorder="1" applyAlignment="1">
      <alignment horizontal="center" vertical="center" wrapText="1"/>
    </xf>
    <xf numFmtId="3" fontId="18" fillId="7" borderId="1" xfId="0" applyNumberFormat="1" applyFont="1" applyFill="1" applyBorder="1" applyAlignment="1">
      <alignment horizontal="center" vertical="center" wrapText="1"/>
    </xf>
    <xf numFmtId="0" fontId="16" fillId="0" borderId="1" xfId="0" applyFont="1" applyBorder="1" applyAlignment="1">
      <alignment horizontal="justify" vertical="center"/>
    </xf>
    <xf numFmtId="0" fontId="27" fillId="0" borderId="49"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63" xfId="0" applyFont="1" applyBorder="1" applyAlignment="1">
      <alignment horizontal="center" vertical="center" wrapText="1"/>
    </xf>
    <xf numFmtId="0" fontId="32" fillId="7" borderId="68"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9" fillId="7" borderId="69" xfId="0" applyFont="1" applyFill="1" applyBorder="1" applyAlignment="1">
      <alignment horizontal="center" vertical="center" wrapText="1"/>
    </xf>
    <xf numFmtId="0" fontId="10" fillId="7" borderId="47" xfId="0" applyFont="1" applyFill="1" applyBorder="1" applyAlignment="1">
      <alignment vertical="center" wrapText="1"/>
    </xf>
    <xf numFmtId="0" fontId="16" fillId="7" borderId="55" xfId="0" applyFont="1" applyFill="1" applyBorder="1" applyAlignment="1">
      <alignment horizontal="center" vertical="center"/>
    </xf>
    <xf numFmtId="0" fontId="50" fillId="7" borderId="8" xfId="0" applyFont="1" applyFill="1" applyBorder="1" applyAlignment="1">
      <alignment horizontal="justify" vertical="center"/>
    </xf>
    <xf numFmtId="3" fontId="18" fillId="7" borderId="1" xfId="0" applyNumberFormat="1" applyFont="1" applyFill="1" applyBorder="1" applyAlignment="1">
      <alignment horizontal="center" vertical="center"/>
    </xf>
    <xf numFmtId="41" fontId="18" fillId="7" borderId="14" xfId="4" applyNumberFormat="1" applyFont="1" applyFill="1" applyBorder="1" applyAlignment="1">
      <alignment horizontal="center" vertical="center" wrapText="1"/>
    </xf>
    <xf numFmtId="0" fontId="10" fillId="0" borderId="21" xfId="0" applyFont="1" applyBorder="1" applyAlignment="1">
      <alignment horizontal="center" vertical="center" wrapText="1"/>
    </xf>
    <xf numFmtId="0" fontId="10" fillId="7" borderId="8" xfId="0" applyFont="1" applyFill="1" applyBorder="1" applyAlignment="1">
      <alignment vertical="center" wrapText="1"/>
    </xf>
    <xf numFmtId="49" fontId="32" fillId="7" borderId="8" xfId="0" applyNumberFormat="1" applyFont="1" applyFill="1" applyBorder="1" applyAlignment="1">
      <alignment horizontal="center" vertical="center" wrapText="1"/>
    </xf>
    <xf numFmtId="49" fontId="32" fillId="7" borderId="1" xfId="0" applyNumberFormat="1" applyFont="1" applyFill="1" applyBorder="1" applyAlignment="1">
      <alignment horizontal="center" vertical="center" wrapText="1"/>
    </xf>
    <xf numFmtId="0" fontId="10" fillId="7" borderId="8" xfId="0" applyFont="1" applyFill="1" applyBorder="1"/>
    <xf numFmtId="0" fontId="10" fillId="7" borderId="70"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16" fillId="0" borderId="55" xfId="0" applyFont="1" applyBorder="1" applyAlignment="1">
      <alignment horizontal="center" vertical="center"/>
    </xf>
    <xf numFmtId="0" fontId="10" fillId="0" borderId="47" xfId="0" applyFont="1" applyBorder="1" applyAlignment="1">
      <alignment vertical="center" wrapText="1"/>
    </xf>
    <xf numFmtId="0" fontId="10" fillId="0" borderId="71" xfId="0" applyFont="1" applyBorder="1" applyAlignment="1">
      <alignment horizontal="center" vertical="center" wrapText="1"/>
    </xf>
    <xf numFmtId="0" fontId="10" fillId="0" borderId="72" xfId="0" applyFont="1" applyBorder="1" applyAlignment="1">
      <alignment horizontal="center" vertical="center" wrapText="1"/>
    </xf>
    <xf numFmtId="0" fontId="32" fillId="12" borderId="68" xfId="0" applyFont="1" applyFill="1" applyBorder="1" applyAlignment="1">
      <alignment horizontal="center" vertical="center" wrapText="1"/>
    </xf>
    <xf numFmtId="0" fontId="32" fillId="12" borderId="47" xfId="0" applyFont="1" applyFill="1" applyBorder="1" applyAlignment="1">
      <alignment horizontal="center" vertical="center" wrapText="1"/>
    </xf>
    <xf numFmtId="3" fontId="8" fillId="0" borderId="3" xfId="4" applyNumberFormat="1" applyFont="1" applyFill="1" applyBorder="1" applyAlignment="1">
      <alignment horizontal="center" vertical="center" wrapText="1"/>
    </xf>
    <xf numFmtId="0" fontId="27" fillId="0" borderId="1" xfId="16" applyFont="1" applyBorder="1" applyAlignment="1">
      <alignment horizontal="justify" vertical="center"/>
    </xf>
    <xf numFmtId="0" fontId="27" fillId="0" borderId="8" xfId="0" applyFont="1" applyBorder="1" applyAlignment="1">
      <alignment horizontal="justify" vertical="center" wrapText="1"/>
    </xf>
    <xf numFmtId="0" fontId="10" fillId="7" borderId="27" xfId="0" applyFont="1" applyFill="1" applyBorder="1" applyAlignment="1">
      <alignment horizontal="center" vertical="center" wrapText="1"/>
    </xf>
    <xf numFmtId="49" fontId="27" fillId="0" borderId="1" xfId="0" applyNumberFormat="1" applyFont="1" applyBorder="1" applyAlignment="1">
      <alignment horizontal="center" vertical="center" wrapText="1"/>
    </xf>
    <xf numFmtId="3" fontId="8" fillId="7" borderId="8" xfId="0" applyNumberFormat="1" applyFont="1" applyFill="1" applyBorder="1" applyAlignment="1">
      <alignment horizontal="center" vertical="center" wrapText="1"/>
    </xf>
    <xf numFmtId="0" fontId="27" fillId="0" borderId="1" xfId="0" applyFont="1" applyBorder="1" applyAlignment="1">
      <alignment horizontal="justify" vertical="center" wrapText="1"/>
    </xf>
    <xf numFmtId="0" fontId="10" fillId="0" borderId="10" xfId="0" applyFont="1" applyBorder="1" applyAlignment="1">
      <alignment horizontal="center" vertical="center" wrapText="1"/>
    </xf>
    <xf numFmtId="41" fontId="18" fillId="7" borderId="1" xfId="0" applyNumberFormat="1" applyFont="1" applyFill="1" applyBorder="1" applyAlignment="1">
      <alignment horizontal="center" vertical="center" wrapText="1"/>
    </xf>
    <xf numFmtId="0" fontId="27" fillId="0" borderId="27" xfId="0" applyFont="1" applyBorder="1" applyAlignment="1">
      <alignment vertical="center" wrapText="1"/>
    </xf>
    <xf numFmtId="0" fontId="27" fillId="0" borderId="1" xfId="0" applyFont="1" applyBorder="1" applyAlignment="1">
      <alignment vertical="center"/>
    </xf>
    <xf numFmtId="0" fontId="27" fillId="0" borderId="2" xfId="0" applyFont="1" applyBorder="1" applyAlignment="1">
      <alignment vertical="center" wrapText="1"/>
    </xf>
    <xf numFmtId="49" fontId="27" fillId="0" borderId="27" xfId="0" applyNumberFormat="1" applyFont="1" applyBorder="1" applyAlignment="1">
      <alignment horizontal="center" vertical="center" wrapText="1"/>
    </xf>
    <xf numFmtId="49" fontId="27" fillId="0" borderId="60" xfId="0" applyNumberFormat="1" applyFont="1" applyBorder="1" applyAlignment="1">
      <alignment horizontal="center" vertical="center" wrapText="1"/>
    </xf>
    <xf numFmtId="49" fontId="27" fillId="0" borderId="61" xfId="0" applyNumberFormat="1" applyFont="1" applyBorder="1" applyAlignment="1">
      <alignment horizontal="center" vertical="center" wrapText="1"/>
    </xf>
    <xf numFmtId="49" fontId="27" fillId="0" borderId="2" xfId="0" applyNumberFormat="1" applyFont="1" applyBorder="1" applyAlignment="1">
      <alignment horizontal="center" vertical="center" wrapText="1"/>
    </xf>
    <xf numFmtId="49" fontId="27" fillId="0" borderId="65" xfId="0" applyNumberFormat="1" applyFont="1" applyBorder="1" applyAlignment="1">
      <alignment horizontal="center" vertical="center" wrapText="1"/>
    </xf>
    <xf numFmtId="0" fontId="27" fillId="0" borderId="27" xfId="16" applyFont="1" applyBorder="1" applyAlignment="1">
      <alignment horizontal="justify" vertical="center"/>
    </xf>
    <xf numFmtId="0" fontId="27" fillId="0" borderId="9" xfId="16" applyFont="1" applyBorder="1" applyAlignment="1">
      <alignment horizontal="justify" vertical="center"/>
    </xf>
    <xf numFmtId="0" fontId="10" fillId="0" borderId="1" xfId="16" applyFont="1" applyBorder="1" applyAlignment="1">
      <alignment horizontal="center" vertical="center" wrapText="1"/>
    </xf>
    <xf numFmtId="0" fontId="32" fillId="12" borderId="27" xfId="16" applyFont="1" applyFill="1" applyBorder="1" applyAlignment="1">
      <alignment horizontal="center" vertical="center"/>
    </xf>
    <xf numFmtId="0" fontId="32" fillId="12" borderId="1" xfId="16" applyFont="1" applyFill="1" applyBorder="1" applyAlignment="1">
      <alignment horizontal="center" vertical="center"/>
    </xf>
    <xf numFmtId="0" fontId="32" fillId="12" borderId="1" xfId="16" applyFont="1" applyFill="1" applyBorder="1" applyAlignment="1">
      <alignment horizontal="center" vertical="center" wrapText="1"/>
    </xf>
    <xf numFmtId="0" fontId="10" fillId="0" borderId="53" xfId="16" applyFont="1" applyBorder="1" applyAlignment="1">
      <alignment horizontal="center" vertical="center" wrapText="1"/>
    </xf>
    <xf numFmtId="0" fontId="10" fillId="0" borderId="32" xfId="16" applyFont="1" applyBorder="1" applyAlignment="1">
      <alignment horizontal="center" vertical="center" wrapText="1"/>
    </xf>
    <xf numFmtId="0" fontId="10" fillId="0" borderId="61" xfId="16" applyFont="1" applyBorder="1" applyAlignment="1">
      <alignment horizontal="center" vertical="center" wrapText="1"/>
    </xf>
    <xf numFmtId="0" fontId="27" fillId="0" borderId="4" xfId="16" applyFont="1" applyBorder="1" applyAlignment="1">
      <alignment horizontal="justify" vertical="center"/>
    </xf>
    <xf numFmtId="0" fontId="10" fillId="0" borderId="3" xfId="16" applyFont="1" applyBorder="1" applyAlignment="1">
      <alignment horizontal="center" vertical="center" wrapText="1"/>
    </xf>
    <xf numFmtId="0" fontId="10" fillId="0" borderId="66" xfId="16" applyFont="1" applyBorder="1" applyAlignment="1">
      <alignment horizontal="center" vertical="center" wrapText="1"/>
    </xf>
    <xf numFmtId="41" fontId="18" fillId="7" borderId="47" xfId="0" applyNumberFormat="1" applyFont="1" applyFill="1" applyBorder="1" applyAlignment="1">
      <alignment horizontal="center" vertical="center" wrapText="1"/>
    </xf>
    <xf numFmtId="0" fontId="10" fillId="0" borderId="1" xfId="16" applyFont="1" applyBorder="1" applyAlignment="1">
      <alignment vertical="center" wrapText="1"/>
    </xf>
    <xf numFmtId="0" fontId="10" fillId="0" borderId="2" xfId="0" applyFont="1" applyBorder="1" applyAlignment="1">
      <alignment horizontal="left" vertical="center" wrapText="1"/>
    </xf>
    <xf numFmtId="0" fontId="10" fillId="0" borderId="3" xfId="0" applyFont="1" applyBorder="1" applyAlignment="1">
      <alignment horizontal="justify" vertical="center" wrapText="1"/>
    </xf>
    <xf numFmtId="0" fontId="10" fillId="7" borderId="28" xfId="0" applyFont="1" applyFill="1" applyBorder="1" applyAlignment="1">
      <alignment horizontal="center" vertical="center" wrapText="1"/>
    </xf>
    <xf numFmtId="0" fontId="32" fillId="7" borderId="9" xfId="0" applyFont="1" applyFill="1" applyBorder="1" applyAlignment="1">
      <alignment horizontal="center" vertical="center" wrapText="1"/>
    </xf>
    <xf numFmtId="0" fontId="16" fillId="7" borderId="3" xfId="0" applyFont="1" applyFill="1" applyBorder="1" applyAlignment="1">
      <alignment horizontal="center" vertical="center"/>
    </xf>
    <xf numFmtId="0" fontId="10" fillId="7" borderId="52" xfId="0" applyFont="1" applyFill="1" applyBorder="1" applyAlignment="1">
      <alignment horizontal="center" vertical="center" wrapText="1"/>
    </xf>
    <xf numFmtId="3" fontId="33" fillId="7" borderId="3" xfId="4" applyNumberFormat="1" applyFont="1" applyFill="1" applyBorder="1" applyAlignment="1">
      <alignment horizontal="center" vertical="center"/>
    </xf>
    <xf numFmtId="0" fontId="27" fillId="0" borderId="1" xfId="0" applyFont="1" applyBorder="1" applyAlignment="1">
      <alignment vertical="top" wrapText="1"/>
    </xf>
    <xf numFmtId="0" fontId="10" fillId="0" borderId="13" xfId="0" applyFont="1" applyBorder="1" applyAlignment="1">
      <alignment horizontal="center" vertical="center" wrapText="1"/>
    </xf>
    <xf numFmtId="0" fontId="10" fillId="7" borderId="21"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10" fillId="7" borderId="3" xfId="0" applyFont="1" applyFill="1" applyBorder="1" applyAlignment="1">
      <alignment vertical="center" wrapText="1"/>
    </xf>
    <xf numFmtId="0" fontId="8" fillId="7" borderId="3" xfId="0" applyFont="1" applyFill="1" applyBorder="1" applyAlignment="1">
      <alignment horizontal="center" vertical="center" wrapText="1"/>
    </xf>
    <xf numFmtId="0" fontId="10" fillId="0" borderId="1" xfId="0" applyFont="1" applyBorder="1" applyAlignment="1">
      <alignment horizontal="left" vertical="top" wrapText="1"/>
    </xf>
    <xf numFmtId="0" fontId="32" fillId="12" borderId="62" xfId="0" applyFont="1" applyFill="1" applyBorder="1" applyAlignment="1">
      <alignment horizontal="center" vertical="center"/>
    </xf>
    <xf numFmtId="0" fontId="32" fillId="12" borderId="9" xfId="0" applyFont="1" applyFill="1" applyBorder="1" applyAlignment="1">
      <alignment horizontal="center" vertical="center" wrapText="1"/>
    </xf>
    <xf numFmtId="0" fontId="32" fillId="7" borderId="8" xfId="0" applyFont="1" applyFill="1" applyBorder="1" applyAlignment="1">
      <alignment horizontal="left" vertical="center" wrapText="1"/>
    </xf>
    <xf numFmtId="0" fontId="8" fillId="7" borderId="8" xfId="0" applyFont="1" applyFill="1" applyBorder="1" applyAlignment="1">
      <alignment horizontal="left" vertical="center" wrapText="1"/>
    </xf>
    <xf numFmtId="0" fontId="10" fillId="0" borderId="27" xfId="16" applyFont="1" applyBorder="1" applyAlignment="1">
      <alignment vertical="center" wrapText="1"/>
    </xf>
    <xf numFmtId="0" fontId="27" fillId="0" borderId="15" xfId="16" applyFont="1" applyBorder="1" applyAlignment="1">
      <alignment horizontal="justify" vertical="center"/>
    </xf>
    <xf numFmtId="0" fontId="27" fillId="0" borderId="54" xfId="16" applyFont="1" applyBorder="1" applyAlignment="1">
      <alignment horizontal="justify" vertical="center"/>
    </xf>
    <xf numFmtId="0" fontId="27" fillId="0" borderId="1" xfId="0" applyFont="1" applyBorder="1" applyAlignment="1">
      <alignment horizontal="center" vertical="center"/>
    </xf>
    <xf numFmtId="0" fontId="29" fillId="12" borderId="1" xfId="0" applyFont="1" applyFill="1" applyBorder="1" applyAlignment="1">
      <alignment horizontal="center" vertical="center"/>
    </xf>
    <xf numFmtId="0" fontId="27" fillId="0" borderId="1" xfId="16" applyFont="1" applyBorder="1" applyAlignment="1">
      <alignment vertical="center" wrapText="1"/>
    </xf>
    <xf numFmtId="0" fontId="16" fillId="7" borderId="54" xfId="16" applyFont="1" applyFill="1" applyBorder="1" applyAlignment="1">
      <alignment horizontal="justify" vertical="center"/>
    </xf>
    <xf numFmtId="0" fontId="10" fillId="0" borderId="17" xfId="16" applyFont="1" applyBorder="1" applyAlignment="1">
      <alignment horizontal="justify" vertical="center" wrapText="1"/>
    </xf>
    <xf numFmtId="0" fontId="10" fillId="0" borderId="41" xfId="16" applyFont="1" applyBorder="1" applyAlignment="1">
      <alignment horizontal="justify" vertical="center" wrapText="1"/>
    </xf>
    <xf numFmtId="0" fontId="10" fillId="0" borderId="41" xfId="16" applyFont="1" applyBorder="1" applyAlignment="1">
      <alignment vertical="center" wrapText="1"/>
    </xf>
    <xf numFmtId="0" fontId="10" fillId="0" borderId="4" xfId="16" applyFont="1" applyBorder="1" applyAlignment="1">
      <alignment vertical="center" wrapText="1"/>
    </xf>
    <xf numFmtId="0" fontId="27" fillId="0" borderId="17" xfId="0" applyFont="1" applyBorder="1" applyAlignment="1">
      <alignment horizontal="center" vertical="center" wrapText="1"/>
    </xf>
    <xf numFmtId="0" fontId="27" fillId="0" borderId="66" xfId="0" applyFont="1" applyBorder="1" applyAlignment="1">
      <alignment horizontal="center" vertical="center" wrapText="1"/>
    </xf>
    <xf numFmtId="0" fontId="10" fillId="0" borderId="46" xfId="0" applyFont="1" applyBorder="1" applyAlignment="1">
      <alignment horizontal="center" vertical="center" wrapText="1"/>
    </xf>
    <xf numFmtId="0" fontId="27" fillId="0" borderId="3" xfId="0" applyFont="1" applyBorder="1" applyAlignment="1">
      <alignment horizontal="center" vertical="center"/>
    </xf>
    <xf numFmtId="0" fontId="29" fillId="12" borderId="15" xfId="0" applyFont="1" applyFill="1" applyBorder="1" applyAlignment="1">
      <alignment horizontal="center" vertical="center"/>
    </xf>
    <xf numFmtId="0" fontId="29" fillId="12" borderId="3" xfId="0" applyFont="1" applyFill="1" applyBorder="1" applyAlignment="1">
      <alignment horizontal="center" vertical="center"/>
    </xf>
    <xf numFmtId="0" fontId="10" fillId="0" borderId="27" xfId="16" applyFont="1" applyBorder="1" applyAlignment="1">
      <alignment vertical="top" wrapText="1"/>
    </xf>
    <xf numFmtId="0" fontId="27" fillId="0" borderId="1" xfId="0" applyFont="1" applyBorder="1" applyAlignment="1">
      <alignment horizontal="center" wrapText="1"/>
    </xf>
    <xf numFmtId="0" fontId="27" fillId="0" borderId="27" xfId="0" applyFont="1" applyBorder="1" applyAlignment="1">
      <alignment horizontal="center" vertical="center"/>
    </xf>
    <xf numFmtId="0" fontId="29" fillId="12" borderId="2" xfId="0" applyFont="1" applyFill="1" applyBorder="1" applyAlignment="1">
      <alignment horizontal="center" vertical="center"/>
    </xf>
    <xf numFmtId="0" fontId="10" fillId="7" borderId="1" xfId="0" applyFont="1" applyFill="1" applyBorder="1" applyAlignment="1">
      <alignment horizontal="center"/>
    </xf>
    <xf numFmtId="0" fontId="33" fillId="7" borderId="1" xfId="0" applyFont="1" applyFill="1" applyBorder="1" applyAlignment="1">
      <alignment horizontal="left" vertical="center" wrapText="1"/>
    </xf>
    <xf numFmtId="0" fontId="33" fillId="0" borderId="1" xfId="0" applyFont="1" applyBorder="1" applyAlignment="1">
      <alignment horizontal="left" vertical="center" wrapText="1"/>
    </xf>
    <xf numFmtId="0" fontId="33" fillId="7" borderId="3" xfId="0" applyFont="1" applyFill="1" applyBorder="1" applyAlignment="1">
      <alignment horizontal="left" vertical="center" wrapText="1"/>
    </xf>
    <xf numFmtId="0" fontId="10" fillId="7" borderId="3" xfId="0" applyFont="1" applyFill="1" applyBorder="1" applyAlignment="1">
      <alignment horizontal="center"/>
    </xf>
    <xf numFmtId="0" fontId="27" fillId="0" borderId="1" xfId="0" applyFont="1" applyBorder="1" applyAlignment="1">
      <alignment horizontal="justify" vertical="top" wrapText="1"/>
    </xf>
    <xf numFmtId="41" fontId="10" fillId="7" borderId="48" xfId="0" applyNumberFormat="1" applyFont="1" applyFill="1" applyBorder="1" applyAlignment="1">
      <alignment horizontal="center" vertical="center"/>
    </xf>
    <xf numFmtId="41" fontId="10" fillId="7" borderId="1" xfId="0" applyNumberFormat="1" applyFont="1" applyFill="1" applyBorder="1" applyAlignment="1">
      <alignment horizontal="center" vertical="center"/>
    </xf>
    <xf numFmtId="41" fontId="10" fillId="0" borderId="1" xfId="0" applyNumberFormat="1" applyFont="1" applyBorder="1" applyAlignment="1">
      <alignment horizontal="center" vertical="center"/>
    </xf>
    <xf numFmtId="0" fontId="27" fillId="0" borderId="47" xfId="0" applyFont="1" applyBorder="1" applyAlignment="1">
      <alignment horizontal="center" vertical="center" wrapText="1"/>
    </xf>
    <xf numFmtId="0" fontId="29" fillId="7" borderId="1" xfId="0" applyFont="1" applyFill="1" applyBorder="1" applyAlignment="1">
      <alignment horizontal="center" vertical="center"/>
    </xf>
    <xf numFmtId="0" fontId="10" fillId="7" borderId="1" xfId="0" applyFont="1" applyFill="1" applyBorder="1" applyAlignment="1">
      <alignment horizontal="justify" vertical="center" wrapText="1"/>
    </xf>
    <xf numFmtId="0" fontId="29" fillId="7" borderId="9" xfId="0" applyFont="1" applyFill="1" applyBorder="1" applyAlignment="1">
      <alignment horizontal="center" vertical="center"/>
    </xf>
    <xf numFmtId="0" fontId="29" fillId="12" borderId="9" xfId="0" applyFont="1" applyFill="1" applyBorder="1" applyAlignment="1">
      <alignment horizontal="center" vertical="center"/>
    </xf>
    <xf numFmtId="0" fontId="27" fillId="0" borderId="60" xfId="0" applyFont="1" applyBorder="1" applyAlignment="1">
      <alignment horizontal="center" vertical="center" wrapText="1"/>
    </xf>
    <xf numFmtId="0" fontId="27" fillId="0" borderId="65" xfId="0" applyFont="1" applyBorder="1" applyAlignment="1">
      <alignment horizontal="center" vertical="center" wrapText="1"/>
    </xf>
    <xf numFmtId="3" fontId="10" fillId="0" borderId="3" xfId="0" applyNumberFormat="1" applyFont="1" applyBorder="1" applyAlignment="1">
      <alignment horizontal="center" vertical="center"/>
    </xf>
    <xf numFmtId="41" fontId="10" fillId="0" borderId="3" xfId="0" applyNumberFormat="1" applyFont="1" applyBorder="1" applyAlignment="1">
      <alignment horizontal="center" vertical="center"/>
    </xf>
    <xf numFmtId="0" fontId="18" fillId="7" borderId="1" xfId="0" applyFont="1" applyFill="1" applyBorder="1" applyAlignment="1">
      <alignment horizontal="justify" vertical="center" wrapText="1"/>
    </xf>
    <xf numFmtId="0" fontId="50" fillId="7" borderId="1" xfId="0" applyFont="1" applyFill="1" applyBorder="1" applyAlignment="1">
      <alignment horizontal="center" vertical="center" wrapText="1"/>
    </xf>
    <xf numFmtId="0" fontId="50" fillId="7" borderId="1" xfId="0" applyFont="1" applyFill="1" applyBorder="1" applyAlignment="1">
      <alignment horizontal="center" vertical="center"/>
    </xf>
    <xf numFmtId="41" fontId="18" fillId="7" borderId="1" xfId="0" applyNumberFormat="1" applyFont="1" applyFill="1" applyBorder="1" applyAlignment="1">
      <alignment horizontal="center" vertical="center"/>
    </xf>
    <xf numFmtId="0" fontId="10" fillId="12" borderId="8" xfId="0" applyFont="1" applyFill="1" applyBorder="1" applyAlignment="1">
      <alignment horizontal="center" vertical="center"/>
    </xf>
    <xf numFmtId="3" fontId="10" fillId="12" borderId="2" xfId="0" applyNumberFormat="1" applyFont="1" applyFill="1" applyBorder="1" applyAlignment="1">
      <alignment horizontal="center" vertical="center"/>
    </xf>
    <xf numFmtId="3" fontId="10" fillId="7" borderId="8" xfId="0" applyNumberFormat="1" applyFont="1" applyFill="1" applyBorder="1" applyAlignment="1">
      <alignment horizontal="center" vertical="center"/>
    </xf>
    <xf numFmtId="0" fontId="27" fillId="0" borderId="1" xfId="16" applyFont="1" applyBorder="1" applyAlignment="1">
      <alignment vertical="top" wrapText="1"/>
    </xf>
    <xf numFmtId="0" fontId="9" fillId="7" borderId="8" xfId="0" applyFont="1" applyFill="1" applyBorder="1" applyAlignment="1">
      <alignment horizontal="center" vertical="center" wrapText="1"/>
    </xf>
    <xf numFmtId="0" fontId="33" fillId="7" borderId="8" xfId="0" applyFont="1" applyFill="1" applyBorder="1" applyAlignment="1">
      <alignment horizontal="left" vertical="center" wrapText="1"/>
    </xf>
    <xf numFmtId="0" fontId="9" fillId="7" borderId="8" xfId="0" applyFont="1" applyFill="1" applyBorder="1" applyAlignment="1">
      <alignment horizontal="left" vertical="center" wrapText="1"/>
    </xf>
    <xf numFmtId="0" fontId="9" fillId="0" borderId="8" xfId="0" applyFont="1" applyBorder="1" applyAlignment="1">
      <alignment horizontal="left" vertical="center" wrapText="1"/>
    </xf>
    <xf numFmtId="0" fontId="10" fillId="7" borderId="1" xfId="0" applyFont="1" applyFill="1" applyBorder="1" applyAlignment="1">
      <alignment horizontal="center" wrapText="1"/>
    </xf>
    <xf numFmtId="0" fontId="10" fillId="7" borderId="8" xfId="0" applyFont="1" applyFill="1" applyBorder="1" applyAlignment="1">
      <alignment horizontal="center"/>
    </xf>
    <xf numFmtId="0" fontId="32" fillId="12" borderId="3" xfId="0" applyFont="1" applyFill="1" applyBorder="1" applyAlignment="1">
      <alignment horizontal="center"/>
    </xf>
    <xf numFmtId="0" fontId="29" fillId="12" borderId="27"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7" fillId="7" borderId="64" xfId="0" applyFont="1" applyFill="1" applyBorder="1" applyAlignment="1">
      <alignment horizontal="center" vertical="center" wrapText="1"/>
    </xf>
    <xf numFmtId="0" fontId="29" fillId="12" borderId="3" xfId="0" applyFont="1" applyFill="1" applyBorder="1" applyAlignment="1">
      <alignment horizontal="center" vertical="center" wrapText="1"/>
    </xf>
    <xf numFmtId="0" fontId="27" fillId="0" borderId="3" xfId="0" applyFont="1" applyBorder="1" applyAlignment="1">
      <alignment horizontal="left" vertical="center" wrapText="1"/>
    </xf>
    <xf numFmtId="0" fontId="27" fillId="0" borderId="1" xfId="0" applyFont="1" applyBorder="1" applyAlignment="1">
      <alignment horizontal="left" vertical="center" wrapText="1"/>
    </xf>
    <xf numFmtId="0" fontId="27" fillId="7" borderId="3" xfId="0" applyFont="1" applyFill="1" applyBorder="1" applyAlignment="1">
      <alignment horizontal="center" vertical="center"/>
    </xf>
    <xf numFmtId="0" fontId="27" fillId="7" borderId="52" xfId="0" applyFont="1" applyFill="1" applyBorder="1" applyAlignment="1">
      <alignment horizontal="center" vertical="center" wrapText="1"/>
    </xf>
    <xf numFmtId="0" fontId="32" fillId="12" borderId="9" xfId="0" applyFont="1" applyFill="1" applyBorder="1" applyAlignment="1">
      <alignment horizontal="center"/>
    </xf>
    <xf numFmtId="0" fontId="8" fillId="7" borderId="3" xfId="0" applyFont="1" applyFill="1" applyBorder="1" applyAlignment="1">
      <alignment horizontal="left" vertical="center" wrapText="1"/>
    </xf>
    <xf numFmtId="41" fontId="18" fillId="0" borderId="8" xfId="4" applyNumberFormat="1" applyFont="1" applyFill="1" applyBorder="1" applyAlignment="1">
      <alignment horizontal="center" vertical="center" wrapText="1"/>
    </xf>
    <xf numFmtId="0" fontId="52" fillId="0" borderId="0" xfId="0" applyFont="1"/>
    <xf numFmtId="0" fontId="50" fillId="0" borderId="0" xfId="0" applyFont="1"/>
    <xf numFmtId="0" fontId="18" fillId="7" borderId="1" xfId="0" applyFont="1" applyFill="1" applyBorder="1" applyAlignment="1">
      <alignment horizontal="center"/>
    </xf>
    <xf numFmtId="0" fontId="27" fillId="0" borderId="8" xfId="10" applyFont="1" applyBorder="1" applyAlignment="1">
      <alignment vertical="center" wrapText="1"/>
    </xf>
    <xf numFmtId="0" fontId="27" fillId="0" borderId="1" xfId="10" applyFont="1" applyBorder="1" applyAlignment="1">
      <alignment vertical="center" wrapText="1"/>
    </xf>
    <xf numFmtId="0" fontId="27" fillId="0" borderId="3" xfId="10" applyFont="1" applyBorder="1" applyAlignment="1">
      <alignment vertical="center" wrapText="1"/>
    </xf>
    <xf numFmtId="0" fontId="27" fillId="7" borderId="1" xfId="0" applyFont="1" applyFill="1" applyBorder="1" applyAlignment="1">
      <alignment horizontal="center" vertical="center"/>
    </xf>
    <xf numFmtId="0" fontId="32" fillId="7" borderId="1" xfId="0" applyFont="1" applyFill="1" applyBorder="1" applyAlignment="1">
      <alignment horizontal="center"/>
    </xf>
    <xf numFmtId="0" fontId="27" fillId="15" borderId="8" xfId="10" applyFont="1" applyFill="1" applyBorder="1" applyAlignment="1">
      <alignment vertical="center" wrapText="1"/>
    </xf>
    <xf numFmtId="0" fontId="27" fillId="15" borderId="1" xfId="10" applyFont="1" applyFill="1" applyBorder="1" applyAlignment="1">
      <alignment vertical="center" wrapText="1"/>
    </xf>
    <xf numFmtId="0" fontId="27" fillId="15" borderId="3" xfId="10" applyFont="1" applyFill="1" applyBorder="1" applyAlignment="1">
      <alignment vertical="center" wrapText="1"/>
    </xf>
    <xf numFmtId="0" fontId="32" fillId="12" borderId="8" xfId="10" applyFont="1" applyFill="1" applyBorder="1" applyAlignment="1">
      <alignment horizontal="center" vertical="center" wrapText="1"/>
    </xf>
    <xf numFmtId="0" fontId="32" fillId="12" borderId="1" xfId="10" applyFont="1" applyFill="1" applyBorder="1" applyAlignment="1">
      <alignment horizontal="center" vertical="center" wrapText="1"/>
    </xf>
    <xf numFmtId="0" fontId="32" fillId="12" borderId="3" xfId="10" applyFont="1" applyFill="1" applyBorder="1" applyAlignment="1">
      <alignment horizontal="center" vertical="center" wrapText="1"/>
    </xf>
    <xf numFmtId="0" fontId="27" fillId="15" borderId="27" xfId="10" applyFont="1" applyFill="1" applyBorder="1" applyAlignment="1">
      <alignment vertical="center"/>
    </xf>
    <xf numFmtId="0" fontId="27" fillId="15" borderId="2" xfId="10" applyFont="1" applyFill="1" applyBorder="1" applyAlignment="1">
      <alignment vertical="center"/>
    </xf>
    <xf numFmtId="0" fontId="27" fillId="0" borderId="2" xfId="0" applyFont="1" applyBorder="1" applyAlignment="1">
      <alignment horizontal="center" vertical="center"/>
    </xf>
    <xf numFmtId="0" fontId="10" fillId="0" borderId="3" xfId="0" applyFont="1" applyBorder="1" applyAlignment="1">
      <alignment horizontal="center"/>
    </xf>
    <xf numFmtId="0" fontId="27" fillId="0" borderId="1" xfId="16" applyFont="1" applyBorder="1" applyAlignment="1">
      <alignment horizontal="left" vertical="center" wrapText="1"/>
    </xf>
    <xf numFmtId="0" fontId="33" fillId="7" borderId="1" xfId="0" applyFont="1" applyFill="1" applyBorder="1" applyAlignment="1">
      <alignment horizontal="center"/>
    </xf>
    <xf numFmtId="0" fontId="32" fillId="7" borderId="8" xfId="0" applyFont="1" applyFill="1" applyBorder="1" applyAlignment="1">
      <alignment horizontal="center"/>
    </xf>
    <xf numFmtId="0" fontId="18" fillId="0" borderId="47" xfId="0" applyFont="1" applyBorder="1" applyAlignment="1">
      <alignment horizontal="left" vertical="center" wrapText="1"/>
    </xf>
    <xf numFmtId="3" fontId="27" fillId="11" borderId="8" xfId="16" applyNumberFormat="1" applyFont="1" applyFill="1" applyBorder="1" applyAlignment="1">
      <alignment horizontal="left" vertical="center" wrapText="1"/>
    </xf>
    <xf numFmtId="3" fontId="27" fillId="11" borderId="1" xfId="16" applyNumberFormat="1" applyFont="1" applyFill="1" applyBorder="1" applyAlignment="1">
      <alignment horizontal="left" vertical="center" wrapText="1"/>
    </xf>
    <xf numFmtId="0" fontId="27" fillId="0" borderId="8" xfId="0" applyFont="1" applyBorder="1" applyAlignment="1">
      <alignment horizontal="center" vertical="center"/>
    </xf>
    <xf numFmtId="0" fontId="27" fillId="0" borderId="60" xfId="0" applyFont="1" applyBorder="1" applyAlignment="1">
      <alignment horizontal="center" vertical="center"/>
    </xf>
    <xf numFmtId="0" fontId="27" fillId="0" borderId="61" xfId="0" applyFont="1" applyBorder="1" applyAlignment="1">
      <alignment horizontal="center" vertical="center"/>
    </xf>
    <xf numFmtId="0" fontId="29" fillId="12" borderId="8" xfId="10" applyFont="1" applyFill="1" applyBorder="1" applyAlignment="1">
      <alignment horizontal="center" vertical="center" wrapText="1"/>
    </xf>
    <xf numFmtId="0" fontId="29" fillId="12" borderId="2" xfId="10" applyFont="1" applyFill="1" applyBorder="1" applyAlignment="1">
      <alignment horizontal="center" vertical="center" wrapText="1"/>
    </xf>
    <xf numFmtId="0" fontId="32" fillId="12" borderId="2" xfId="10" applyFont="1" applyFill="1" applyBorder="1" applyAlignment="1">
      <alignment horizontal="center" vertical="center" wrapText="1"/>
    </xf>
    <xf numFmtId="3" fontId="27" fillId="11" borderId="3" xfId="16" applyNumberFormat="1" applyFont="1" applyFill="1" applyBorder="1" applyAlignment="1">
      <alignment horizontal="left" vertical="center" wrapText="1"/>
    </xf>
    <xf numFmtId="0" fontId="27" fillId="0" borderId="66" xfId="0" applyFont="1" applyBorder="1" applyAlignment="1">
      <alignment horizontal="center" vertical="center"/>
    </xf>
    <xf numFmtId="0" fontId="27" fillId="11" borderId="1" xfId="16" applyFont="1" applyFill="1" applyBorder="1" applyAlignment="1">
      <alignment horizontal="left" vertical="center" wrapText="1"/>
    </xf>
    <xf numFmtId="3" fontId="27" fillId="11" borderId="27" xfId="16" applyNumberFormat="1" applyFont="1" applyFill="1" applyBorder="1" applyAlignment="1">
      <alignment horizontal="left" vertical="center" wrapText="1"/>
    </xf>
    <xf numFmtId="3" fontId="27" fillId="0" borderId="27" xfId="16" applyNumberFormat="1" applyFont="1" applyBorder="1" applyAlignment="1">
      <alignment horizontal="left" vertical="center" wrapText="1"/>
    </xf>
    <xf numFmtId="3" fontId="27" fillId="0" borderId="1" xfId="16" applyNumberFormat="1" applyFont="1" applyBorder="1" applyAlignment="1">
      <alignment horizontal="left" vertical="center" wrapText="1"/>
    </xf>
    <xf numFmtId="3" fontId="27" fillId="0" borderId="3" xfId="16" applyNumberFormat="1" applyFont="1" applyBorder="1" applyAlignment="1">
      <alignment horizontal="left" vertical="top" wrapText="1"/>
    </xf>
    <xf numFmtId="0" fontId="27" fillId="0" borderId="28" xfId="0" applyFont="1" applyBorder="1" applyAlignment="1">
      <alignment horizontal="center" vertical="center"/>
    </xf>
    <xf numFmtId="0" fontId="27" fillId="0" borderId="14" xfId="0" applyFont="1" applyBorder="1" applyAlignment="1">
      <alignment horizontal="center" vertical="center"/>
    </xf>
    <xf numFmtId="0" fontId="27" fillId="7" borderId="27" xfId="0" applyFont="1" applyFill="1" applyBorder="1" applyAlignment="1">
      <alignment horizontal="center" vertical="center"/>
    </xf>
    <xf numFmtId="0" fontId="27" fillId="7" borderId="28" xfId="0" applyFont="1" applyFill="1" applyBorder="1" applyAlignment="1">
      <alignment horizontal="center" vertical="center"/>
    </xf>
    <xf numFmtId="0" fontId="32" fillId="12" borderId="27" xfId="10" applyFont="1" applyFill="1" applyBorder="1" applyAlignment="1">
      <alignment horizontal="center" vertical="center" wrapText="1"/>
    </xf>
    <xf numFmtId="3" fontId="27" fillId="0" borderId="2" xfId="16" applyNumberFormat="1" applyFont="1" applyBorder="1" applyAlignment="1">
      <alignment horizontal="left" vertical="top" wrapText="1"/>
    </xf>
    <xf numFmtId="0" fontId="10" fillId="0" borderId="1" xfId="0" applyFont="1" applyBorder="1" applyAlignment="1">
      <alignment vertical="center"/>
    </xf>
    <xf numFmtId="0" fontId="10" fillId="7" borderId="61" xfId="0" applyFont="1" applyFill="1" applyBorder="1" applyAlignment="1">
      <alignment horizontal="center" vertical="center" wrapText="1"/>
    </xf>
    <xf numFmtId="0" fontId="10" fillId="0" borderId="3" xfId="0" applyFont="1" applyBorder="1" applyAlignment="1">
      <alignment horizontal="center" vertical="center"/>
    </xf>
    <xf numFmtId="0" fontId="10" fillId="7" borderId="8" xfId="0" applyFont="1" applyFill="1" applyBorder="1" applyAlignment="1">
      <alignment horizontal="center" vertical="center"/>
    </xf>
    <xf numFmtId="0" fontId="10" fillId="7" borderId="8" xfId="0" applyFont="1" applyFill="1" applyBorder="1" applyAlignment="1">
      <alignment horizontal="center" vertical="center" wrapText="1"/>
    </xf>
    <xf numFmtId="0" fontId="53" fillId="0" borderId="27"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27" xfId="0" applyFont="1" applyBorder="1" applyAlignment="1">
      <alignment horizontal="left" vertical="center" wrapText="1"/>
    </xf>
    <xf numFmtId="0" fontId="53" fillId="0" borderId="1" xfId="0" applyFont="1" applyBorder="1" applyAlignment="1">
      <alignment horizontal="left" vertical="center" wrapText="1"/>
    </xf>
    <xf numFmtId="0" fontId="53" fillId="0" borderId="2" xfId="0" applyFont="1" applyBorder="1" applyAlignment="1">
      <alignment horizontal="left" vertical="center" wrapText="1"/>
    </xf>
    <xf numFmtId="0" fontId="53" fillId="0" borderId="28" xfId="0" applyFont="1" applyBorder="1" applyAlignment="1">
      <alignment horizontal="center" vertical="center" wrapText="1"/>
    </xf>
    <xf numFmtId="0" fontId="53" fillId="0" borderId="14" xfId="0" applyFont="1" applyBorder="1" applyAlignment="1">
      <alignment horizontal="center" vertical="center" wrapText="1"/>
    </xf>
    <xf numFmtId="0" fontId="53" fillId="0" borderId="10" xfId="0" applyFont="1" applyBorder="1" applyAlignment="1">
      <alignment horizontal="center" vertical="center" wrapText="1"/>
    </xf>
    <xf numFmtId="0" fontId="54" fillId="0" borderId="27" xfId="0" applyFont="1" applyBorder="1" applyAlignment="1">
      <alignment horizontal="center" vertical="center" wrapText="1"/>
    </xf>
    <xf numFmtId="0" fontId="54" fillId="0" borderId="1" xfId="0" applyFont="1" applyBorder="1" applyAlignment="1">
      <alignment horizontal="left" vertical="center" wrapText="1"/>
    </xf>
    <xf numFmtId="0" fontId="54" fillId="0" borderId="1" xfId="0" applyFont="1" applyBorder="1" applyAlignment="1">
      <alignment horizontal="center" vertical="center" wrapText="1"/>
    </xf>
    <xf numFmtId="0" fontId="55" fillId="12" borderId="1" xfId="0" applyFont="1" applyFill="1" applyBorder="1" applyAlignment="1">
      <alignment horizontal="center" vertical="center" wrapText="1"/>
    </xf>
    <xf numFmtId="0" fontId="31" fillId="0" borderId="3" xfId="0" applyFont="1" applyBorder="1" applyAlignment="1">
      <alignment horizontal="left" vertical="center" wrapText="1"/>
    </xf>
    <xf numFmtId="0" fontId="54" fillId="0" borderId="3" xfId="0" applyFont="1" applyBorder="1" applyAlignment="1">
      <alignment horizontal="left" vertical="center" wrapText="1"/>
    </xf>
    <xf numFmtId="0" fontId="54" fillId="0" borderId="3" xfId="0" applyFont="1" applyBorder="1" applyAlignment="1">
      <alignment horizontal="center" vertical="center" wrapText="1"/>
    </xf>
    <xf numFmtId="0" fontId="55" fillId="12" borderId="3" xfId="0" applyFont="1" applyFill="1" applyBorder="1" applyAlignment="1">
      <alignment horizontal="center" vertical="center" wrapText="1"/>
    </xf>
    <xf numFmtId="0" fontId="53" fillId="7" borderId="1" xfId="0" applyFont="1" applyFill="1" applyBorder="1" applyAlignment="1">
      <alignment horizontal="center" vertical="center" wrapText="1"/>
    </xf>
    <xf numFmtId="0" fontId="53" fillId="0" borderId="3" xfId="0" applyFont="1" applyBorder="1" applyAlignment="1">
      <alignment horizontal="center" vertical="center" wrapText="1"/>
    </xf>
    <xf numFmtId="0" fontId="53" fillId="0" borderId="3" xfId="0" applyFont="1" applyBorder="1" applyAlignment="1">
      <alignment horizontal="left" vertical="center" wrapText="1"/>
    </xf>
    <xf numFmtId="0" fontId="53" fillId="0" borderId="52" xfId="0" applyFont="1" applyBorder="1" applyAlignment="1">
      <alignment horizontal="center" vertical="center" wrapText="1"/>
    </xf>
    <xf numFmtId="43" fontId="10" fillId="7" borderId="1" xfId="0" applyNumberFormat="1" applyFont="1" applyFill="1" applyBorder="1" applyAlignment="1">
      <alignment horizontal="center" vertical="center"/>
    </xf>
    <xf numFmtId="0" fontId="33" fillId="7" borderId="3" xfId="0" applyFont="1" applyFill="1" applyBorder="1" applyAlignment="1">
      <alignment horizontal="center"/>
    </xf>
    <xf numFmtId="0" fontId="33" fillId="0" borderId="3" xfId="0" applyFont="1" applyBorder="1" applyAlignment="1">
      <alignment horizontal="left" vertical="center" wrapText="1"/>
    </xf>
    <xf numFmtId="0" fontId="33" fillId="0" borderId="3" xfId="0" applyFont="1" applyBorder="1" applyAlignment="1">
      <alignment horizontal="center"/>
    </xf>
    <xf numFmtId="0" fontId="53" fillId="0" borderId="26" xfId="0" applyFont="1" applyBorder="1" applyAlignment="1">
      <alignment horizontal="left" vertical="center" wrapText="1"/>
    </xf>
    <xf numFmtId="0" fontId="53" fillId="0" borderId="5" xfId="0" applyFont="1" applyBorder="1" applyAlignment="1">
      <alignment horizontal="left" vertical="center" wrapText="1"/>
    </xf>
    <xf numFmtId="0" fontId="53" fillId="0" borderId="4" xfId="0" applyFont="1" applyBorder="1" applyAlignment="1">
      <alignment horizontal="left" vertical="center" wrapText="1"/>
    </xf>
    <xf numFmtId="0" fontId="33" fillId="7" borderId="3" xfId="0" applyFont="1" applyFill="1" applyBorder="1" applyAlignment="1">
      <alignment horizontal="center" vertical="center" wrapText="1"/>
    </xf>
    <xf numFmtId="0" fontId="53" fillId="0" borderId="27" xfId="0" applyFont="1" applyBorder="1" applyAlignment="1">
      <alignment horizontal="left" vertical="top" wrapText="1"/>
    </xf>
    <xf numFmtId="0" fontId="53" fillId="0" borderId="8" xfId="0" applyFont="1" applyBorder="1" applyAlignment="1">
      <alignment horizontal="center" vertical="center" wrapText="1"/>
    </xf>
    <xf numFmtId="0" fontId="53" fillId="0" borderId="8" xfId="0" applyFont="1" applyBorder="1" applyAlignment="1">
      <alignment horizontal="left" vertical="center" wrapText="1"/>
    </xf>
    <xf numFmtId="0" fontId="20" fillId="0" borderId="1" xfId="0" applyFont="1" applyBorder="1" applyAlignment="1">
      <alignment horizontal="center" vertical="center" wrapText="1"/>
    </xf>
    <xf numFmtId="0" fontId="56" fillId="0" borderId="27" xfId="0" applyFont="1" applyBorder="1" applyAlignment="1">
      <alignment horizontal="left" vertical="center" wrapText="1"/>
    </xf>
    <xf numFmtId="0" fontId="56" fillId="0" borderId="1" xfId="0" applyFont="1" applyBorder="1" applyAlignment="1">
      <alignment horizontal="left" vertical="center" wrapText="1"/>
    </xf>
    <xf numFmtId="0" fontId="56" fillId="0" borderId="3" xfId="0" applyFont="1" applyBorder="1" applyAlignment="1">
      <alignment horizontal="left" vertical="center" wrapText="1"/>
    </xf>
    <xf numFmtId="3" fontId="33" fillId="0" borderId="1" xfId="0" applyNumberFormat="1" applyFont="1" applyBorder="1" applyAlignment="1">
      <alignment horizontal="center" vertical="center"/>
    </xf>
    <xf numFmtId="3" fontId="33" fillId="14" borderId="1" xfId="0" applyNumberFormat="1" applyFont="1" applyFill="1" applyBorder="1" applyAlignment="1">
      <alignment horizontal="center" vertical="center"/>
    </xf>
    <xf numFmtId="3" fontId="33" fillId="7" borderId="1" xfId="0" applyNumberFormat="1" applyFont="1" applyFill="1" applyBorder="1" applyAlignment="1">
      <alignment horizontal="center" vertical="center"/>
    </xf>
    <xf numFmtId="0" fontId="33" fillId="0" borderId="1" xfId="0" applyFont="1" applyBorder="1" applyAlignment="1">
      <alignment horizontal="center"/>
    </xf>
    <xf numFmtId="0" fontId="54" fillId="0" borderId="28" xfId="0" applyFont="1" applyBorder="1" applyAlignment="1">
      <alignment horizontal="center" vertical="center" wrapText="1"/>
    </xf>
    <xf numFmtId="0" fontId="54" fillId="0" borderId="14" xfId="0" applyFont="1" applyBorder="1" applyAlignment="1">
      <alignment horizontal="center" vertical="center" wrapText="1"/>
    </xf>
    <xf numFmtId="0" fontId="54" fillId="0" borderId="52" xfId="0" applyFont="1" applyBorder="1" applyAlignment="1">
      <alignment horizontal="center" vertical="center" wrapText="1"/>
    </xf>
    <xf numFmtId="41" fontId="33" fillId="7" borderId="1" xfId="0" applyNumberFormat="1" applyFont="1" applyFill="1" applyBorder="1" applyAlignment="1">
      <alignment horizontal="center" vertical="center"/>
    </xf>
    <xf numFmtId="41" fontId="33" fillId="0" borderId="1" xfId="0" applyNumberFormat="1" applyFont="1" applyBorder="1" applyAlignment="1">
      <alignment horizontal="center" vertical="center"/>
    </xf>
    <xf numFmtId="0" fontId="18" fillId="7" borderId="1" xfId="0" applyFont="1" applyFill="1" applyBorder="1" applyAlignment="1">
      <alignment vertical="center"/>
    </xf>
    <xf numFmtId="0" fontId="18" fillId="7" borderId="1" xfId="0" applyFont="1" applyFill="1" applyBorder="1"/>
    <xf numFmtId="0" fontId="18" fillId="7" borderId="1" xfId="0" applyFont="1" applyFill="1" applyBorder="1" applyAlignment="1">
      <alignment horizontal="center" vertical="center"/>
    </xf>
    <xf numFmtId="0" fontId="10" fillId="0" borderId="44" xfId="0" applyFont="1" applyBorder="1" applyAlignment="1">
      <alignment horizontal="center" vertical="center" wrapText="1"/>
    </xf>
    <xf numFmtId="0" fontId="9" fillId="7" borderId="46"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7" borderId="1" xfId="0" applyFont="1" applyFill="1" applyBorder="1" applyAlignment="1">
      <alignment horizontal="left" vertical="center" wrapText="1"/>
    </xf>
    <xf numFmtId="43" fontId="10" fillId="7" borderId="68" xfId="0" applyNumberFormat="1" applyFont="1" applyFill="1" applyBorder="1" applyAlignment="1">
      <alignment horizontal="center" vertical="center"/>
    </xf>
    <xf numFmtId="3" fontId="10" fillId="14" borderId="1" xfId="4" applyNumberFormat="1" applyFont="1" applyFill="1" applyBorder="1" applyAlignment="1">
      <alignment horizontal="center" vertical="center" wrapText="1"/>
    </xf>
    <xf numFmtId="43" fontId="10" fillId="0" borderId="1" xfId="4" applyFont="1" applyFill="1" applyBorder="1" applyAlignment="1">
      <alignment horizontal="center" vertical="center" wrapText="1"/>
    </xf>
    <xf numFmtId="41" fontId="33" fillId="0" borderId="1" xfId="4" applyNumberFormat="1" applyFont="1" applyFill="1" applyBorder="1" applyAlignment="1">
      <alignment horizontal="center" vertical="center" wrapText="1"/>
    </xf>
    <xf numFmtId="0" fontId="33" fillId="7" borderId="8" xfId="0" applyFont="1" applyFill="1" applyBorder="1" applyAlignment="1">
      <alignment horizontal="center" vertical="center" wrapText="1"/>
    </xf>
    <xf numFmtId="3" fontId="33" fillId="7" borderId="8" xfId="4" applyNumberFormat="1" applyFont="1" applyFill="1" applyBorder="1" applyAlignment="1">
      <alignment horizontal="center" vertical="center" wrapText="1"/>
    </xf>
    <xf numFmtId="0" fontId="16" fillId="7" borderId="47" xfId="0" applyFont="1" applyFill="1" applyBorder="1" applyAlignment="1">
      <alignment horizontal="left" vertical="center" wrapText="1"/>
    </xf>
    <xf numFmtId="0" fontId="10" fillId="7" borderId="47" xfId="0" applyFont="1" applyFill="1" applyBorder="1" applyAlignment="1">
      <alignment horizontal="left" vertical="center" wrapText="1"/>
    </xf>
    <xf numFmtId="0" fontId="10" fillId="7" borderId="47" xfId="0" applyFont="1" applyFill="1" applyBorder="1" applyAlignment="1">
      <alignment horizontal="center" vertical="center" wrapText="1"/>
    </xf>
    <xf numFmtId="0" fontId="10" fillId="16" borderId="1" xfId="0" applyFont="1" applyFill="1" applyBorder="1" applyAlignment="1">
      <alignment horizontal="left" vertical="center" wrapText="1"/>
    </xf>
    <xf numFmtId="0" fontId="10" fillId="16" borderId="1" xfId="0" applyFont="1" applyFill="1" applyBorder="1" applyAlignment="1">
      <alignment horizontal="center" vertical="center" wrapText="1"/>
    </xf>
    <xf numFmtId="0" fontId="33" fillId="16" borderId="1" xfId="0" applyFont="1" applyFill="1" applyBorder="1" applyAlignment="1">
      <alignment horizontal="center" vertical="center" wrapText="1"/>
    </xf>
    <xf numFmtId="3" fontId="33" fillId="16" borderId="1" xfId="4" applyNumberFormat="1" applyFont="1" applyFill="1" applyBorder="1" applyAlignment="1">
      <alignment horizontal="center" vertical="center" wrapText="1"/>
    </xf>
    <xf numFmtId="41" fontId="33" fillId="16" borderId="1" xfId="4" applyNumberFormat="1" applyFont="1" applyFill="1" applyBorder="1" applyAlignment="1">
      <alignment horizontal="center" vertical="center" wrapText="1"/>
    </xf>
    <xf numFmtId="0" fontId="16" fillId="16" borderId="1" xfId="0" applyFont="1" applyFill="1" applyBorder="1" applyAlignment="1">
      <alignment horizontal="left" vertical="center" wrapText="1"/>
    </xf>
    <xf numFmtId="0" fontId="33" fillId="16" borderId="9" xfId="0" applyFont="1" applyFill="1" applyBorder="1" applyAlignment="1">
      <alignment horizontal="center" vertical="center" wrapText="1"/>
    </xf>
    <xf numFmtId="0" fontId="9" fillId="16" borderId="1" xfId="0" applyFont="1" applyFill="1" applyBorder="1" applyAlignment="1">
      <alignment horizontal="center" vertical="center" wrapText="1"/>
    </xf>
    <xf numFmtId="3" fontId="33" fillId="7" borderId="47" xfId="4" applyNumberFormat="1" applyFont="1" applyFill="1" applyBorder="1" applyAlignment="1">
      <alignment horizontal="center" vertical="center" wrapText="1"/>
    </xf>
    <xf numFmtId="0" fontId="10" fillId="11" borderId="27" xfId="0" applyFont="1" applyFill="1" applyBorder="1" applyAlignment="1">
      <alignment horizontal="justify" vertical="center"/>
    </xf>
    <xf numFmtId="0" fontId="10" fillId="11" borderId="2" xfId="0" applyFont="1" applyFill="1" applyBorder="1" applyAlignment="1">
      <alignment horizontal="justify" vertical="center"/>
    </xf>
    <xf numFmtId="0" fontId="10" fillId="11" borderId="8" xfId="0" applyFont="1" applyFill="1" applyBorder="1" applyAlignment="1">
      <alignment horizontal="justify" vertical="center"/>
    </xf>
    <xf numFmtId="0" fontId="10" fillId="11" borderId="1" xfId="0" applyFont="1" applyFill="1" applyBorder="1" applyAlignment="1">
      <alignment horizontal="justify" vertical="center"/>
    </xf>
    <xf numFmtId="0" fontId="10" fillId="11" borderId="27" xfId="0" applyFont="1" applyFill="1" applyBorder="1" applyAlignment="1">
      <alignment horizontal="center" vertical="center"/>
    </xf>
    <xf numFmtId="0" fontId="10" fillId="11" borderId="1" xfId="0" applyFont="1" applyFill="1" applyBorder="1" applyAlignment="1">
      <alignment horizontal="center" vertical="center"/>
    </xf>
    <xf numFmtId="0" fontId="10" fillId="11" borderId="2" xfId="0" applyFont="1" applyFill="1" applyBorder="1" applyAlignment="1">
      <alignment horizontal="center" vertical="center"/>
    </xf>
    <xf numFmtId="0" fontId="20" fillId="7" borderId="3" xfId="0" applyFont="1" applyFill="1" applyBorder="1" applyAlignment="1">
      <alignment horizontal="left" vertical="center" wrapText="1"/>
    </xf>
    <xf numFmtId="3" fontId="33" fillId="7" borderId="3" xfId="4" applyNumberFormat="1" applyFont="1" applyFill="1" applyBorder="1" applyAlignment="1">
      <alignment horizontal="center" vertical="center" wrapText="1"/>
    </xf>
    <xf numFmtId="0" fontId="8" fillId="7" borderId="47" xfId="0" applyFont="1" applyFill="1" applyBorder="1" applyAlignment="1">
      <alignment horizontal="center" vertical="center" wrapText="1"/>
    </xf>
    <xf numFmtId="3" fontId="9" fillId="11" borderId="16" xfId="0" applyNumberFormat="1" applyFont="1" applyFill="1" applyBorder="1" applyAlignment="1">
      <alignment horizontal="center" vertical="center" wrapText="1"/>
    </xf>
    <xf numFmtId="0" fontId="25" fillId="0" borderId="4" xfId="0" applyFont="1" applyBorder="1" applyAlignment="1">
      <alignment horizontal="left" wrapText="1"/>
    </xf>
    <xf numFmtId="41" fontId="9" fillId="0" borderId="47" xfId="4" applyNumberFormat="1" applyFont="1" applyFill="1" applyBorder="1" applyAlignment="1">
      <alignment horizontal="right" vertical="center" wrapText="1"/>
    </xf>
    <xf numFmtId="0" fontId="10" fillId="0" borderId="8" xfId="16" applyFont="1" applyBorder="1" applyAlignment="1">
      <alignment horizontal="justify" vertical="top"/>
    </xf>
    <xf numFmtId="0" fontId="10" fillId="0" borderId="0" xfId="16" applyFont="1" applyAlignment="1">
      <alignment horizontal="justify" vertical="top"/>
    </xf>
    <xf numFmtId="0" fontId="16" fillId="7" borderId="1" xfId="0" applyFont="1" applyFill="1" applyBorder="1" applyAlignment="1">
      <alignment horizontal="justify" vertical="center" wrapText="1"/>
    </xf>
    <xf numFmtId="0" fontId="27" fillId="7" borderId="53" xfId="0" applyFont="1" applyFill="1" applyBorder="1" applyAlignment="1">
      <alignment horizontal="center" vertical="center" wrapText="1"/>
    </xf>
    <xf numFmtId="0" fontId="27" fillId="7" borderId="32" xfId="0" applyFont="1" applyFill="1" applyBorder="1" applyAlignment="1">
      <alignment horizontal="center" vertical="center" wrapText="1"/>
    </xf>
    <xf numFmtId="0" fontId="27" fillId="7" borderId="61" xfId="0" applyFont="1" applyFill="1" applyBorder="1" applyAlignment="1">
      <alignment horizontal="center" vertical="center" wrapText="1"/>
    </xf>
    <xf numFmtId="3" fontId="35" fillId="0" borderId="27" xfId="0" applyNumberFormat="1" applyFont="1" applyBorder="1" applyAlignment="1">
      <alignment horizontal="center" vertical="center"/>
    </xf>
    <xf numFmtId="0" fontId="10" fillId="7" borderId="9" xfId="0" applyFont="1" applyFill="1" applyBorder="1" applyAlignment="1">
      <alignment horizontal="center"/>
    </xf>
    <xf numFmtId="0" fontId="54" fillId="0" borderId="8" xfId="0" applyFont="1" applyBorder="1" applyAlignment="1">
      <alignment horizontal="center" vertical="center" wrapText="1"/>
    </xf>
    <xf numFmtId="167" fontId="10" fillId="7" borderId="1" xfId="0" applyNumberFormat="1" applyFont="1" applyFill="1" applyBorder="1" applyAlignment="1">
      <alignment horizontal="center" vertical="center"/>
    </xf>
    <xf numFmtId="167" fontId="10" fillId="0" borderId="1" xfId="0" applyNumberFormat="1" applyFont="1" applyBorder="1" applyAlignment="1">
      <alignment horizontal="center" vertical="center"/>
    </xf>
    <xf numFmtId="0" fontId="33" fillId="7" borderId="3" xfId="0" applyFont="1" applyFill="1" applyBorder="1" applyAlignment="1">
      <alignment horizontal="center" vertical="center"/>
    </xf>
    <xf numFmtId="0" fontId="53" fillId="14" borderId="1" xfId="0" applyFont="1" applyFill="1" applyBorder="1" applyAlignment="1">
      <alignment horizontal="left" vertical="center" wrapText="1"/>
    </xf>
    <xf numFmtId="0" fontId="57" fillId="0" borderId="0" xfId="0" applyFont="1"/>
    <xf numFmtId="3" fontId="35" fillId="0" borderId="0" xfId="0" applyNumberFormat="1" applyFont="1"/>
    <xf numFmtId="3" fontId="10" fillId="0" borderId="1" xfId="4" applyNumberFormat="1" applyFont="1" applyBorder="1"/>
    <xf numFmtId="0" fontId="16" fillId="7" borderId="1" xfId="15" applyFont="1" applyFill="1" applyBorder="1" applyAlignment="1">
      <alignment horizontal="justify" vertical="center" wrapText="1"/>
    </xf>
    <xf numFmtId="3" fontId="33" fillId="5" borderId="1" xfId="4" applyNumberFormat="1" applyFont="1" applyFill="1" applyBorder="1" applyAlignment="1">
      <alignment horizontal="center" vertical="center" wrapText="1"/>
    </xf>
    <xf numFmtId="3" fontId="10" fillId="17" borderId="1" xfId="0" applyNumberFormat="1" applyFont="1" applyFill="1" applyBorder="1" applyAlignment="1">
      <alignment horizontal="center" vertical="center"/>
    </xf>
    <xf numFmtId="0" fontId="27" fillId="0" borderId="3" xfId="0" applyFont="1" applyBorder="1" applyAlignment="1">
      <alignment horizontal="justify" vertical="center" wrapText="1"/>
    </xf>
    <xf numFmtId="0" fontId="29" fillId="12" borderId="58" xfId="0" applyFont="1" applyFill="1" applyBorder="1" applyAlignment="1">
      <alignment horizontal="center" vertical="center"/>
    </xf>
    <xf numFmtId="41" fontId="8" fillId="12" borderId="14" xfId="4" applyNumberFormat="1" applyFont="1" applyFill="1" applyBorder="1" applyAlignment="1">
      <alignment horizontal="center" vertical="center" wrapText="1"/>
    </xf>
    <xf numFmtId="3" fontId="10" fillId="12" borderId="1" xfId="0" applyNumberFormat="1" applyFont="1" applyFill="1" applyBorder="1" applyAlignment="1">
      <alignment horizontal="center" vertical="center"/>
    </xf>
    <xf numFmtId="0" fontId="10" fillId="0" borderId="3" xfId="0" applyFont="1" applyBorder="1" applyAlignment="1">
      <alignment vertical="center" wrapText="1"/>
    </xf>
    <xf numFmtId="0" fontId="9" fillId="0" borderId="57" xfId="0" applyFont="1" applyBorder="1" applyAlignment="1">
      <alignment horizontal="center" vertical="center" wrapText="1"/>
    </xf>
    <xf numFmtId="0" fontId="10" fillId="0" borderId="58" xfId="0" applyFont="1" applyBorder="1" applyAlignment="1">
      <alignment horizontal="justify" vertical="center"/>
    </xf>
    <xf numFmtId="0" fontId="33" fillId="7" borderId="41" xfId="0" applyFont="1" applyFill="1" applyBorder="1" applyAlignment="1">
      <alignment horizontal="center" vertical="center" wrapText="1"/>
    </xf>
    <xf numFmtId="0" fontId="29" fillId="12" borderId="27" xfId="16" applyFont="1" applyFill="1" applyBorder="1" applyAlignment="1">
      <alignment horizontal="center" vertical="center"/>
    </xf>
    <xf numFmtId="0" fontId="29" fillId="12" borderId="1" xfId="16" applyFont="1" applyFill="1" applyBorder="1" applyAlignment="1">
      <alignment horizontal="center" vertical="center"/>
    </xf>
    <xf numFmtId="0" fontId="29" fillId="12" borderId="2" xfId="16" applyFont="1" applyFill="1" applyBorder="1" applyAlignment="1">
      <alignment horizontal="center" vertical="center"/>
    </xf>
    <xf numFmtId="49" fontId="33" fillId="7" borderId="3" xfId="0" applyNumberFormat="1" applyFont="1" applyFill="1" applyBorder="1" applyAlignment="1">
      <alignment horizontal="center" vertical="center" wrapText="1"/>
    </xf>
    <xf numFmtId="0" fontId="59" fillId="8" borderId="31" xfId="0" applyFont="1" applyFill="1" applyBorder="1" applyAlignment="1">
      <alignment horizontal="center" vertical="center" wrapText="1"/>
    </xf>
    <xf numFmtId="0" fontId="59" fillId="8" borderId="32" xfId="0" applyFont="1" applyFill="1" applyBorder="1" applyAlignment="1">
      <alignment horizontal="center" vertical="center" wrapText="1"/>
    </xf>
    <xf numFmtId="0" fontId="59" fillId="8" borderId="0" xfId="0" applyFont="1" applyFill="1" applyAlignment="1">
      <alignment horizontal="center" vertical="center" wrapText="1"/>
    </xf>
    <xf numFmtId="0" fontId="59" fillId="8" borderId="17" xfId="0" applyFont="1" applyFill="1" applyBorder="1" applyAlignment="1">
      <alignment horizontal="center" vertical="center" wrapText="1"/>
    </xf>
    <xf numFmtId="0" fontId="12" fillId="8" borderId="0" xfId="0" applyFont="1" applyFill="1" applyAlignment="1">
      <alignment vertical="center" wrapText="1"/>
    </xf>
    <xf numFmtId="0" fontId="12" fillId="8" borderId="34" xfId="0" applyFont="1" applyFill="1" applyBorder="1" applyAlignment="1">
      <alignment vertical="center" wrapText="1"/>
    </xf>
    <xf numFmtId="0" fontId="60" fillId="9" borderId="1" xfId="0" applyFont="1" applyFill="1" applyBorder="1" applyAlignment="1">
      <alignment horizontal="center" vertical="center" wrapText="1"/>
    </xf>
    <xf numFmtId="3" fontId="60" fillId="9"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3" fontId="12" fillId="0" borderId="1" xfId="0" applyNumberFormat="1" applyFont="1" applyBorder="1" applyAlignment="1">
      <alignment horizontal="center" vertical="center" wrapText="1"/>
    </xf>
    <xf numFmtId="0" fontId="60" fillId="12" borderId="1" xfId="0" applyFont="1" applyFill="1" applyBorder="1" applyAlignment="1">
      <alignment horizontal="center" vertical="center" wrapText="1"/>
    </xf>
    <xf numFmtId="3" fontId="12" fillId="12" borderId="1" xfId="0" applyNumberFormat="1" applyFont="1" applyFill="1" applyBorder="1" applyAlignment="1">
      <alignment horizontal="center" vertical="center" wrapText="1"/>
    </xf>
    <xf numFmtId="37" fontId="61" fillId="9" borderId="17" xfId="0" applyNumberFormat="1" applyFont="1" applyFill="1" applyBorder="1" applyAlignment="1">
      <alignment horizontal="center" vertical="center" wrapText="1"/>
    </xf>
    <xf numFmtId="0" fontId="13" fillId="9" borderId="1" xfId="0" applyFont="1" applyFill="1" applyBorder="1" applyAlignment="1">
      <alignment horizontal="right" vertical="center" wrapText="1"/>
    </xf>
    <xf numFmtId="0" fontId="11" fillId="9" borderId="1" xfId="0" applyFont="1" applyFill="1" applyBorder="1" applyAlignment="1">
      <alignment horizontal="center" vertical="center" wrapText="1"/>
    </xf>
    <xf numFmtId="3" fontId="13" fillId="9" borderId="1" xfId="0" applyNumberFormat="1" applyFont="1" applyFill="1" applyBorder="1" applyAlignment="1">
      <alignment horizontal="center" vertical="center" wrapText="1"/>
    </xf>
    <xf numFmtId="3" fontId="61" fillId="9" borderId="35" xfId="0" applyNumberFormat="1" applyFont="1" applyFill="1" applyBorder="1" applyAlignment="1">
      <alignment horizontal="center" vertical="center" wrapText="1"/>
    </xf>
    <xf numFmtId="0" fontId="11" fillId="0" borderId="36" xfId="0" applyFont="1" applyBorder="1" applyAlignment="1">
      <alignment horizontal="right" vertical="center" wrapText="1"/>
    </xf>
    <xf numFmtId="0" fontId="63" fillId="0" borderId="37" xfId="0" applyFont="1" applyBorder="1" applyAlignment="1">
      <alignment horizontal="right" vertical="center" wrapText="1"/>
    </xf>
    <xf numFmtId="0" fontId="27" fillId="7" borderId="1" xfId="0" applyFont="1" applyFill="1" applyBorder="1" applyAlignment="1">
      <alignment horizontal="center"/>
    </xf>
    <xf numFmtId="0" fontId="27" fillId="0" borderId="1" xfId="0" applyFont="1" applyBorder="1" applyAlignment="1">
      <alignment horizontal="center"/>
    </xf>
    <xf numFmtId="0" fontId="27" fillId="18" borderId="1" xfId="0" applyFont="1" applyFill="1" applyBorder="1" applyAlignment="1">
      <alignment horizontal="center"/>
    </xf>
    <xf numFmtId="0" fontId="10" fillId="18" borderId="1" xfId="0" applyFont="1" applyFill="1" applyBorder="1" applyAlignment="1">
      <alignment horizontal="center"/>
    </xf>
    <xf numFmtId="0" fontId="53" fillId="18" borderId="1" xfId="0" applyFont="1" applyFill="1" applyBorder="1" applyAlignment="1">
      <alignment horizontal="center" vertical="center" wrapText="1"/>
    </xf>
    <xf numFmtId="0" fontId="54" fillId="18" borderId="1" xfId="0" applyFont="1" applyFill="1" applyBorder="1" applyAlignment="1">
      <alignment horizontal="center" vertical="center" wrapText="1"/>
    </xf>
    <xf numFmtId="0" fontId="10" fillId="18" borderId="1" xfId="0" applyFont="1" applyFill="1" applyBorder="1" applyAlignment="1">
      <alignment horizontal="center" vertical="center" wrapText="1"/>
    </xf>
    <xf numFmtId="0" fontId="27" fillId="0" borderId="47" xfId="0" applyFont="1" applyBorder="1" applyAlignment="1">
      <alignment horizontal="center" vertical="center"/>
    </xf>
    <xf numFmtId="0" fontId="10" fillId="0" borderId="62" xfId="0" applyFont="1" applyBorder="1" applyAlignment="1">
      <alignment horizontal="center" vertical="center" wrapText="1"/>
    </xf>
    <xf numFmtId="0" fontId="32" fillId="0" borderId="1" xfId="0" applyFont="1" applyBorder="1" applyAlignment="1">
      <alignment horizontal="center" vertical="center"/>
    </xf>
    <xf numFmtId="0" fontId="10" fillId="0" borderId="4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1" xfId="16" applyFont="1" applyBorder="1" applyAlignment="1">
      <alignment horizontal="center" vertical="center"/>
    </xf>
    <xf numFmtId="0" fontId="32" fillId="0" borderId="27" xfId="0" applyFont="1" applyBorder="1" applyAlignment="1">
      <alignment horizontal="center" vertical="center"/>
    </xf>
    <xf numFmtId="0" fontId="10" fillId="0" borderId="0" xfId="0" applyFont="1" applyAlignment="1">
      <alignment horizontal="center" vertical="center" wrapText="1"/>
    </xf>
    <xf numFmtId="0" fontId="32" fillId="0" borderId="8" xfId="0" applyFont="1" applyBorder="1" applyAlignment="1">
      <alignment horizontal="center" vertical="center"/>
    </xf>
    <xf numFmtId="0" fontId="10" fillId="0" borderId="8" xfId="0" applyFont="1" applyBorder="1" applyAlignment="1">
      <alignment horizontal="justify" vertical="center" wrapText="1"/>
    </xf>
    <xf numFmtId="0" fontId="32" fillId="0" borderId="3" xfId="0" applyFont="1" applyBorder="1" applyAlignment="1">
      <alignment horizontal="center" vertical="center"/>
    </xf>
    <xf numFmtId="0" fontId="10" fillId="7" borderId="8" xfId="0" applyFont="1" applyFill="1" applyBorder="1" applyAlignment="1">
      <alignment vertical="top" wrapText="1"/>
    </xf>
    <xf numFmtId="0" fontId="9" fillId="10" borderId="23"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3" fontId="9" fillId="0" borderId="27" xfId="0" applyNumberFormat="1" applyFont="1" applyBorder="1" applyAlignment="1">
      <alignment horizontal="center" vertical="center" wrapText="1"/>
    </xf>
    <xf numFmtId="0" fontId="10" fillId="0" borderId="27" xfId="0" applyFont="1" applyBorder="1" applyAlignment="1">
      <alignment horizontal="center" vertical="center"/>
    </xf>
    <xf numFmtId="0" fontId="16" fillId="0" borderId="1" xfId="0" applyFont="1" applyBorder="1" applyAlignment="1">
      <alignment horizontal="center" vertical="center"/>
    </xf>
    <xf numFmtId="3" fontId="9" fillId="0" borderId="8"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9" fillId="0" borderId="2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6" fillId="0" borderId="27"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 xfId="0" applyFont="1" applyBorder="1" applyAlignment="1">
      <alignment horizontal="center" vertical="center" wrapText="1"/>
    </xf>
    <xf numFmtId="0" fontId="17" fillId="7" borderId="44" xfId="0" applyFont="1" applyFill="1" applyBorder="1" applyAlignment="1">
      <alignment horizontal="left" vertical="center" wrapText="1"/>
    </xf>
    <xf numFmtId="0" fontId="16" fillId="7" borderId="44" xfId="0" applyFont="1" applyFill="1" applyBorder="1" applyAlignment="1">
      <alignment horizontal="left" vertical="center" wrapText="1"/>
    </xf>
    <xf numFmtId="0" fontId="24" fillId="0" borderId="1" xfId="0" applyFont="1" applyBorder="1" applyAlignment="1">
      <alignment horizontal="center" vertical="center" wrapText="1"/>
    </xf>
    <xf numFmtId="0" fontId="24" fillId="0" borderId="3" xfId="0" applyFont="1" applyBorder="1" applyAlignment="1">
      <alignment horizontal="center" vertical="center" wrapText="1"/>
    </xf>
    <xf numFmtId="0" fontId="25" fillId="0" borderId="2" xfId="0" applyFont="1" applyBorder="1" applyAlignment="1">
      <alignment horizontal="center" vertical="center" wrapText="1"/>
    </xf>
    <xf numFmtId="0" fontId="9" fillId="11" borderId="1"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9" fillId="0" borderId="2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18" fillId="10" borderId="43" xfId="0" applyFont="1" applyFill="1" applyBorder="1" applyAlignment="1">
      <alignment horizontal="center" vertical="center" wrapText="1"/>
    </xf>
    <xf numFmtId="0" fontId="18" fillId="10" borderId="44" xfId="0" applyFont="1" applyFill="1" applyBorder="1" applyAlignment="1">
      <alignment horizontal="center" vertical="center" wrapText="1"/>
    </xf>
    <xf numFmtId="0" fontId="18" fillId="10" borderId="67" xfId="0" applyFont="1" applyFill="1" applyBorder="1" applyAlignment="1">
      <alignment horizontal="center" vertical="center" wrapText="1"/>
    </xf>
    <xf numFmtId="3" fontId="9" fillId="0" borderId="28" xfId="0" applyNumberFormat="1" applyFont="1" applyBorder="1" applyAlignment="1">
      <alignment horizontal="center" vertical="center" wrapText="1"/>
    </xf>
    <xf numFmtId="3" fontId="9" fillId="0" borderId="14" xfId="0" applyNumberFormat="1" applyFont="1" applyBorder="1" applyAlignment="1">
      <alignment horizontal="center" vertical="center" wrapText="1"/>
    </xf>
    <xf numFmtId="0" fontId="24" fillId="0" borderId="27" xfId="0" applyFont="1" applyBorder="1" applyAlignment="1">
      <alignment horizontal="left" vertical="center" wrapText="1"/>
    </xf>
    <xf numFmtId="0" fontId="8" fillId="0" borderId="27" xfId="0" applyFont="1" applyBorder="1" applyAlignment="1">
      <alignment horizontal="left" vertical="center" wrapText="1"/>
    </xf>
    <xf numFmtId="0" fontId="16" fillId="0" borderId="1" xfId="0" applyFont="1" applyBorder="1" applyAlignment="1">
      <alignment horizontal="center" vertical="center" wrapText="1"/>
    </xf>
    <xf numFmtId="0" fontId="18" fillId="10" borderId="23" xfId="0" applyFont="1" applyFill="1" applyBorder="1" applyAlignment="1">
      <alignment horizontal="center" vertical="center" wrapText="1"/>
    </xf>
    <xf numFmtId="0" fontId="18" fillId="10" borderId="21" xfId="0" applyFont="1" applyFill="1" applyBorder="1" applyAlignment="1">
      <alignment horizontal="center" vertical="center" wrapText="1"/>
    </xf>
    <xf numFmtId="0" fontId="18" fillId="10" borderId="22" xfId="0" applyFont="1" applyFill="1" applyBorder="1" applyAlignment="1">
      <alignment horizontal="center" vertical="center" wrapText="1"/>
    </xf>
    <xf numFmtId="0" fontId="16" fillId="0" borderId="8" xfId="0" applyFont="1" applyBorder="1" applyAlignment="1">
      <alignment horizontal="center" vertical="center" wrapText="1"/>
    </xf>
    <xf numFmtId="0" fontId="25" fillId="0" borderId="3" xfId="0" applyFont="1" applyBorder="1" applyAlignment="1">
      <alignment horizontal="center" vertical="center" wrapText="1"/>
    </xf>
    <xf numFmtId="3" fontId="16" fillId="0" borderId="1" xfId="0" applyNumberFormat="1" applyFont="1" applyBorder="1" applyAlignment="1">
      <alignment horizontal="center" vertical="center"/>
    </xf>
    <xf numFmtId="3" fontId="16" fillId="0" borderId="1" xfId="0" applyNumberFormat="1" applyFont="1" applyBorder="1" applyAlignment="1">
      <alignment horizontal="center" vertical="center" wrapText="1"/>
    </xf>
    <xf numFmtId="0" fontId="17" fillId="7" borderId="21" xfId="0" applyFont="1" applyFill="1" applyBorder="1" applyAlignment="1">
      <alignment horizontal="left" vertical="center" wrapText="1"/>
    </xf>
    <xf numFmtId="0" fontId="16" fillId="7" borderId="21" xfId="0" applyFont="1" applyFill="1" applyBorder="1" applyAlignment="1">
      <alignment horizontal="left" vertical="center" wrapText="1"/>
    </xf>
    <xf numFmtId="0" fontId="17" fillId="7" borderId="1" xfId="0" applyFont="1" applyFill="1" applyBorder="1" applyAlignment="1">
      <alignment horizontal="left" vertical="center" wrapText="1"/>
    </xf>
    <xf numFmtId="0" fontId="16" fillId="7" borderId="1" xfId="0" applyFont="1" applyFill="1" applyBorder="1" applyAlignment="1">
      <alignment horizontal="left" vertical="center" wrapText="1"/>
    </xf>
    <xf numFmtId="0" fontId="10" fillId="0" borderId="8" xfId="0" applyFont="1" applyBorder="1" applyAlignment="1">
      <alignment horizontal="center" vertical="center" wrapText="1"/>
    </xf>
    <xf numFmtId="0" fontId="10" fillId="0" borderId="8" xfId="0" applyFont="1" applyBorder="1" applyAlignment="1">
      <alignment horizontal="center" vertical="center"/>
    </xf>
    <xf numFmtId="0" fontId="9" fillId="10" borderId="21" xfId="0" applyFont="1" applyFill="1" applyBorder="1" applyAlignment="1">
      <alignment horizontal="center" vertical="center" wrapText="1"/>
    </xf>
    <xf numFmtId="0" fontId="9" fillId="10" borderId="22" xfId="0" applyFont="1" applyFill="1" applyBorder="1" applyAlignment="1">
      <alignment horizontal="center" vertical="center" wrapText="1"/>
    </xf>
    <xf numFmtId="0" fontId="18" fillId="5" borderId="23" xfId="0" applyFont="1" applyFill="1" applyBorder="1" applyAlignment="1">
      <alignment horizontal="center" vertical="center" wrapText="1"/>
    </xf>
    <xf numFmtId="0" fontId="18" fillId="5" borderId="21" xfId="0" applyFont="1" applyFill="1" applyBorder="1" applyAlignment="1">
      <alignment horizontal="center" vertical="center" wrapText="1"/>
    </xf>
    <xf numFmtId="0" fontId="18" fillId="5" borderId="22" xfId="0" applyFont="1" applyFill="1" applyBorder="1" applyAlignment="1">
      <alignment horizontal="center" vertical="center" wrapText="1"/>
    </xf>
    <xf numFmtId="0" fontId="18" fillId="12" borderId="23" xfId="0" applyFont="1" applyFill="1" applyBorder="1" applyAlignment="1">
      <alignment horizontal="center" vertical="center" wrapText="1"/>
    </xf>
    <xf numFmtId="0" fontId="18" fillId="12" borderId="21" xfId="0" applyFont="1" applyFill="1" applyBorder="1" applyAlignment="1">
      <alignment horizontal="center" vertical="center" wrapText="1"/>
    </xf>
    <xf numFmtId="0" fontId="18" fillId="12" borderId="22" xfId="0" applyFont="1" applyFill="1" applyBorder="1" applyAlignment="1">
      <alignment horizontal="center" vertical="center" wrapText="1"/>
    </xf>
    <xf numFmtId="0" fontId="24" fillId="0" borderId="8" xfId="0" applyFont="1" applyBorder="1" applyAlignment="1">
      <alignment horizontal="left" vertical="center" wrapText="1"/>
    </xf>
    <xf numFmtId="0" fontId="8" fillId="0" borderId="8" xfId="0" applyFont="1" applyBorder="1" applyAlignment="1">
      <alignment horizontal="left" vertical="center" wrapText="1"/>
    </xf>
    <xf numFmtId="0" fontId="9" fillId="0" borderId="8" xfId="0" applyFont="1" applyBorder="1" applyAlignment="1">
      <alignment horizontal="center" vertical="center" wrapText="1"/>
    </xf>
    <xf numFmtId="0" fontId="9" fillId="0" borderId="4" xfId="0" applyFont="1" applyBorder="1" applyAlignment="1">
      <alignment horizontal="center" vertical="center" wrapText="1"/>
    </xf>
    <xf numFmtId="0" fontId="17" fillId="7" borderId="47" xfId="0" applyFont="1" applyFill="1" applyBorder="1" applyAlignment="1">
      <alignment horizontal="left" vertical="center" wrapText="1"/>
    </xf>
    <xf numFmtId="0" fontId="16" fillId="7" borderId="47" xfId="0" applyFont="1" applyFill="1" applyBorder="1" applyAlignment="1">
      <alignment horizontal="left" vertical="center" wrapText="1"/>
    </xf>
    <xf numFmtId="0" fontId="32" fillId="0" borderId="21" xfId="0" applyFont="1" applyBorder="1" applyAlignment="1">
      <alignment vertical="center" wrapText="1"/>
    </xf>
    <xf numFmtId="0" fontId="32" fillId="0" borderId="44" xfId="0" applyFont="1" applyBorder="1" applyAlignment="1">
      <alignment vertical="center" wrapText="1"/>
    </xf>
    <xf numFmtId="0" fontId="32" fillId="0" borderId="22" xfId="0" applyFont="1" applyBorder="1" applyAlignment="1">
      <alignment vertical="center" wrapText="1"/>
    </xf>
    <xf numFmtId="0" fontId="10" fillId="0" borderId="21" xfId="0" applyFont="1" applyBorder="1"/>
    <xf numFmtId="0" fontId="10" fillId="0" borderId="67" xfId="0" applyFont="1" applyBorder="1"/>
    <xf numFmtId="0" fontId="9" fillId="11" borderId="42" xfId="0" applyFont="1" applyFill="1" applyBorder="1" applyAlignment="1">
      <alignment horizontal="left" vertical="center" wrapText="1"/>
    </xf>
    <xf numFmtId="3" fontId="9" fillId="0" borderId="20" xfId="0" applyNumberFormat="1" applyFont="1" applyBorder="1" applyAlignment="1">
      <alignment horizontal="center" vertical="center" wrapText="1"/>
    </xf>
    <xf numFmtId="3" fontId="9" fillId="0" borderId="24" xfId="0" applyNumberFormat="1" applyFont="1" applyBorder="1" applyAlignment="1">
      <alignment horizontal="center" vertical="center" wrapText="1"/>
    </xf>
    <xf numFmtId="3" fontId="9" fillId="0" borderId="25" xfId="0" applyNumberFormat="1" applyFont="1" applyBorder="1" applyAlignment="1">
      <alignment horizontal="center" vertical="center" wrapText="1"/>
    </xf>
    <xf numFmtId="3" fontId="9" fillId="0" borderId="20" xfId="0" applyNumberFormat="1" applyFont="1" applyBorder="1" applyAlignment="1">
      <alignment horizontal="left" vertical="center" wrapText="1"/>
    </xf>
    <xf numFmtId="3" fontId="10" fillId="0" borderId="24" xfId="0" applyNumberFormat="1" applyFont="1" applyBorder="1" applyAlignment="1">
      <alignment horizontal="left" vertical="center"/>
    </xf>
    <xf numFmtId="3" fontId="9" fillId="11" borderId="20" xfId="0" applyNumberFormat="1" applyFont="1" applyFill="1" applyBorder="1" applyAlignment="1">
      <alignment horizontal="center" vertical="center" wrapText="1"/>
    </xf>
    <xf numFmtId="3" fontId="9" fillId="11" borderId="24" xfId="0" applyNumberFormat="1" applyFont="1" applyFill="1" applyBorder="1" applyAlignment="1">
      <alignment horizontal="center" vertical="center" wrapText="1"/>
    </xf>
    <xf numFmtId="3" fontId="9" fillId="11" borderId="25" xfId="0" applyNumberFormat="1" applyFont="1" applyFill="1" applyBorder="1" applyAlignment="1">
      <alignment horizontal="center" vertical="center" wrapText="1"/>
    </xf>
    <xf numFmtId="0" fontId="18" fillId="6" borderId="15" xfId="0" applyFont="1" applyFill="1" applyBorder="1" applyAlignment="1">
      <alignment horizontal="left" wrapText="1"/>
    </xf>
    <xf numFmtId="0" fontId="10" fillId="6" borderId="41" xfId="0" applyFont="1" applyFill="1" applyBorder="1" applyAlignment="1">
      <alignment horizontal="left"/>
    </xf>
    <xf numFmtId="0" fontId="10" fillId="6" borderId="9" xfId="0" applyFont="1" applyFill="1" applyBorder="1" applyAlignment="1">
      <alignment horizontal="left"/>
    </xf>
    <xf numFmtId="0" fontId="21" fillId="0" borderId="11" xfId="0" applyFont="1" applyBorder="1" applyAlignment="1">
      <alignment horizontal="left" vertical="center" wrapText="1"/>
    </xf>
    <xf numFmtId="0" fontId="23" fillId="0" borderId="19" xfId="0" applyFont="1" applyBorder="1" applyAlignment="1">
      <alignment horizontal="left" vertical="center" wrapText="1"/>
    </xf>
    <xf numFmtId="0" fontId="23" fillId="0" borderId="13" xfId="0" applyFont="1" applyBorder="1" applyAlignment="1">
      <alignment horizontal="left" vertical="center" wrapText="1"/>
    </xf>
    <xf numFmtId="0" fontId="9" fillId="0" borderId="18" xfId="0" applyFont="1" applyBorder="1" applyAlignment="1">
      <alignment horizontal="left" wrapText="1"/>
    </xf>
    <xf numFmtId="0" fontId="9" fillId="0" borderId="16" xfId="0" applyFont="1" applyBorder="1" applyAlignment="1">
      <alignment horizontal="left" wrapText="1"/>
    </xf>
    <xf numFmtId="0" fontId="9" fillId="0" borderId="12" xfId="0" applyFont="1" applyBorder="1" applyAlignment="1">
      <alignment horizontal="left" wrapText="1"/>
    </xf>
    <xf numFmtId="3" fontId="9" fillId="11" borderId="33" xfId="0" applyNumberFormat="1" applyFont="1" applyFill="1" applyBorder="1" applyAlignment="1">
      <alignment horizontal="center" vertical="center" wrapText="1"/>
    </xf>
    <xf numFmtId="3" fontId="9" fillId="11" borderId="31" xfId="0" applyNumberFormat="1" applyFont="1" applyFill="1" applyBorder="1" applyAlignment="1">
      <alignment horizontal="center" vertical="center" wrapText="1"/>
    </xf>
    <xf numFmtId="3" fontId="9" fillId="11" borderId="32" xfId="0" applyNumberFormat="1" applyFont="1" applyFill="1" applyBorder="1" applyAlignment="1">
      <alignment horizontal="center" vertical="center" wrapText="1"/>
    </xf>
    <xf numFmtId="3" fontId="9" fillId="11" borderId="11" xfId="0" applyNumberFormat="1" applyFont="1" applyFill="1" applyBorder="1" applyAlignment="1">
      <alignment horizontal="center" vertical="center" wrapText="1"/>
    </xf>
    <xf numFmtId="3" fontId="9" fillId="11" borderId="19" xfId="0" applyNumberFormat="1" applyFont="1" applyFill="1" applyBorder="1" applyAlignment="1">
      <alignment horizontal="center" vertical="center" wrapText="1"/>
    </xf>
    <xf numFmtId="3" fontId="9" fillId="11" borderId="13" xfId="0" applyNumberFormat="1" applyFont="1" applyFill="1" applyBorder="1" applyAlignment="1">
      <alignment horizontal="center" vertical="center" wrapText="1"/>
    </xf>
    <xf numFmtId="3" fontId="9" fillId="11" borderId="33" xfId="0" applyNumberFormat="1" applyFont="1" applyFill="1" applyBorder="1" applyAlignment="1">
      <alignment horizontal="left" vertical="center" wrapText="1"/>
    </xf>
    <xf numFmtId="3" fontId="9" fillId="11" borderId="31" xfId="0" applyNumberFormat="1" applyFont="1" applyFill="1" applyBorder="1" applyAlignment="1">
      <alignment horizontal="left" vertical="center" wrapText="1"/>
    </xf>
    <xf numFmtId="3" fontId="9" fillId="11" borderId="32" xfId="0" applyNumberFormat="1" applyFont="1" applyFill="1" applyBorder="1" applyAlignment="1">
      <alignment horizontal="left" vertical="center" wrapText="1"/>
    </xf>
    <xf numFmtId="3" fontId="9" fillId="0" borderId="29" xfId="0" applyNumberFormat="1" applyFont="1" applyBorder="1" applyAlignment="1">
      <alignment horizontal="center" vertical="center" wrapText="1"/>
    </xf>
    <xf numFmtId="3" fontId="9" fillId="0" borderId="30" xfId="0" applyNumberFormat="1" applyFont="1" applyBorder="1" applyAlignment="1">
      <alignment horizontal="center" vertical="center" wrapText="1"/>
    </xf>
    <xf numFmtId="3" fontId="9" fillId="0" borderId="18" xfId="0" applyNumberFormat="1" applyFont="1" applyBorder="1" applyAlignment="1">
      <alignment horizontal="center" vertical="center" wrapText="1"/>
    </xf>
    <xf numFmtId="3" fontId="9" fillId="0" borderId="16" xfId="0" applyNumberFormat="1" applyFont="1" applyBorder="1" applyAlignment="1">
      <alignment horizontal="center" vertical="center" wrapText="1"/>
    </xf>
    <xf numFmtId="0" fontId="24" fillId="11" borderId="42" xfId="0" applyFont="1" applyFill="1" applyBorder="1" applyAlignment="1">
      <alignment horizontal="left" vertical="center" wrapText="1"/>
    </xf>
    <xf numFmtId="0" fontId="25" fillId="11" borderId="42" xfId="0" applyFont="1" applyFill="1" applyBorder="1" applyAlignment="1">
      <alignment horizontal="left" vertical="center" wrapText="1"/>
    </xf>
    <xf numFmtId="0" fontId="9" fillId="0" borderId="42" xfId="0" applyFont="1" applyBorder="1" applyAlignment="1">
      <alignment horizontal="left" vertical="center" wrapText="1"/>
    </xf>
    <xf numFmtId="3" fontId="10" fillId="0" borderId="24" xfId="0" applyNumberFormat="1" applyFont="1" applyBorder="1" applyAlignment="1">
      <alignment horizontal="center" vertical="center"/>
    </xf>
    <xf numFmtId="0" fontId="24" fillId="11" borderId="42" xfId="0" applyFont="1" applyFill="1" applyBorder="1" applyAlignment="1">
      <alignment horizontal="center" vertical="center" wrapText="1"/>
    </xf>
    <xf numFmtId="0" fontId="25" fillId="11" borderId="42" xfId="0" applyFont="1" applyFill="1" applyBorder="1" applyAlignment="1">
      <alignment horizontal="center" vertical="center" wrapText="1"/>
    </xf>
    <xf numFmtId="0" fontId="15" fillId="0" borderId="20" xfId="0" applyFont="1" applyBorder="1" applyAlignment="1">
      <alignment wrapText="1"/>
    </xf>
    <xf numFmtId="0" fontId="15" fillId="0" borderId="24" xfId="0" applyFont="1" applyBorder="1" applyAlignment="1">
      <alignment wrapText="1"/>
    </xf>
    <xf numFmtId="0" fontId="15" fillId="0" borderId="25" xfId="0" applyFont="1" applyBorder="1" applyAlignment="1">
      <alignment wrapText="1"/>
    </xf>
    <xf numFmtId="0" fontId="22" fillId="0" borderId="11" xfId="0" applyFont="1" applyBorder="1" applyAlignment="1">
      <alignment horizontal="left" vertical="center" wrapText="1"/>
    </xf>
    <xf numFmtId="0" fontId="9" fillId="0" borderId="20"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18" xfId="0" applyFont="1" applyBorder="1" applyAlignment="1">
      <alignment horizontal="center" vertical="center" wrapText="1"/>
    </xf>
    <xf numFmtId="0" fontId="22" fillId="0" borderId="20" xfId="0" applyFont="1" applyBorder="1" applyAlignment="1">
      <alignment horizontal="left" vertical="center" wrapText="1"/>
    </xf>
    <xf numFmtId="0" fontId="23" fillId="0" borderId="24" xfId="0" applyFont="1" applyBorder="1" applyAlignment="1">
      <alignment horizontal="left" vertical="center"/>
    </xf>
    <xf numFmtId="0" fontId="23" fillId="0" borderId="31" xfId="0" applyFont="1" applyBorder="1" applyAlignment="1">
      <alignment horizontal="left" vertical="center"/>
    </xf>
    <xf numFmtId="0" fontId="23" fillId="0" borderId="25" xfId="0" applyFont="1" applyBorder="1" applyAlignment="1">
      <alignment horizontal="left" vertical="center"/>
    </xf>
    <xf numFmtId="0" fontId="25" fillId="11" borderId="18" xfId="0" applyFont="1" applyFill="1" applyBorder="1" applyAlignment="1">
      <alignment horizontal="center" vertical="center" wrapText="1"/>
    </xf>
    <xf numFmtId="0" fontId="9" fillId="11" borderId="42" xfId="0" applyFont="1" applyFill="1" applyBorder="1" applyAlignment="1">
      <alignment horizontal="center" vertical="center" wrapText="1"/>
    </xf>
    <xf numFmtId="0" fontId="9" fillId="11" borderId="18" xfId="0" applyFont="1" applyFill="1" applyBorder="1" applyAlignment="1">
      <alignment horizontal="center" vertical="center" wrapText="1"/>
    </xf>
    <xf numFmtId="0" fontId="9" fillId="11" borderId="20" xfId="0" applyFont="1" applyFill="1" applyBorder="1" applyAlignment="1">
      <alignment horizontal="center" vertical="center" wrapText="1"/>
    </xf>
    <xf numFmtId="3" fontId="9" fillId="11" borderId="1" xfId="0" applyNumberFormat="1" applyFont="1" applyFill="1" applyBorder="1" applyAlignment="1">
      <alignment horizontal="center" vertical="center" wrapText="1"/>
    </xf>
    <xf numFmtId="0" fontId="21" fillId="0" borderId="33" xfId="0" applyFont="1" applyBorder="1" applyAlignment="1">
      <alignment horizontal="left" vertical="center" wrapText="1"/>
    </xf>
    <xf numFmtId="0" fontId="26" fillId="0" borderId="31" xfId="0" applyFont="1" applyBorder="1" applyAlignment="1">
      <alignment horizontal="left" vertical="center" wrapText="1"/>
    </xf>
    <xf numFmtId="0" fontId="26" fillId="0" borderId="32" xfId="0" applyFont="1" applyBorder="1" applyAlignment="1">
      <alignment horizontal="left" vertical="center" wrapText="1"/>
    </xf>
    <xf numFmtId="0" fontId="9" fillId="11" borderId="27" xfId="0" applyFont="1" applyFill="1" applyBorder="1" applyAlignment="1">
      <alignment horizontal="center" vertical="center" wrapText="1"/>
    </xf>
    <xf numFmtId="3" fontId="10" fillId="0" borderId="1" xfId="0" applyNumberFormat="1" applyFont="1" applyBorder="1" applyAlignment="1">
      <alignment horizontal="center" vertical="center"/>
    </xf>
    <xf numFmtId="3" fontId="9" fillId="11" borderId="27" xfId="0" applyNumberFormat="1" applyFont="1" applyFill="1" applyBorder="1" applyAlignment="1">
      <alignment horizontal="center" vertical="center" wrapText="1"/>
    </xf>
    <xf numFmtId="0" fontId="9" fillId="0" borderId="26" xfId="0" applyFont="1" applyBorder="1" applyAlignment="1">
      <alignment horizontal="left" vertical="center" wrapText="1"/>
    </xf>
    <xf numFmtId="0" fontId="9" fillId="0" borderId="5" xfId="0" applyFont="1" applyBorder="1" applyAlignment="1">
      <alignment horizontal="left" vertical="center" wrapText="1"/>
    </xf>
    <xf numFmtId="0" fontId="24" fillId="11" borderId="1" xfId="0" applyFont="1" applyFill="1" applyBorder="1" applyAlignment="1">
      <alignment horizontal="center" vertical="center" wrapText="1"/>
    </xf>
    <xf numFmtId="0" fontId="25" fillId="11" borderId="1" xfId="0" applyFont="1" applyFill="1" applyBorder="1" applyAlignment="1">
      <alignment horizontal="center" vertical="center" wrapText="1"/>
    </xf>
    <xf numFmtId="0" fontId="58" fillId="0" borderId="0" xfId="0" applyFont="1" applyAlignment="1">
      <alignment horizontal="center" vertical="center"/>
    </xf>
    <xf numFmtId="37" fontId="61" fillId="9" borderId="50" xfId="0" applyNumberFormat="1" applyFont="1" applyFill="1" applyBorder="1" applyAlignment="1">
      <alignment horizontal="center" vertical="center" wrapText="1"/>
    </xf>
    <xf numFmtId="37" fontId="61" fillId="9" borderId="35" xfId="0" applyNumberFormat="1" applyFont="1" applyFill="1" applyBorder="1" applyAlignment="1">
      <alignment horizontal="center" vertical="center" wrapText="1"/>
    </xf>
    <xf numFmtId="0" fontId="59" fillId="8" borderId="33" xfId="0" applyFont="1" applyFill="1" applyBorder="1" applyAlignment="1">
      <alignment horizontal="justify" vertical="center" wrapText="1"/>
    </xf>
    <xf numFmtId="0" fontId="59" fillId="8" borderId="7" xfId="0" applyFont="1" applyFill="1" applyBorder="1" applyAlignment="1">
      <alignment horizontal="justify" vertical="center" wrapText="1"/>
    </xf>
    <xf numFmtId="0" fontId="59" fillId="8" borderId="31" xfId="0" applyFont="1" applyFill="1" applyBorder="1" applyAlignment="1">
      <alignment horizontal="center" vertical="center" wrapText="1"/>
    </xf>
    <xf numFmtId="0" fontId="59" fillId="8" borderId="0" xfId="0" applyFont="1" applyFill="1" applyAlignment="1">
      <alignment horizontal="center" vertical="center" wrapText="1"/>
    </xf>
    <xf numFmtId="0" fontId="60" fillId="9" borderId="1" xfId="0" applyFont="1" applyFill="1" applyBorder="1" applyAlignment="1">
      <alignment horizontal="left" vertical="center" wrapText="1"/>
    </xf>
    <xf numFmtId="0" fontId="11" fillId="0" borderId="51" xfId="0" applyFont="1" applyBorder="1" applyAlignment="1">
      <alignment horizontal="center" vertical="center" wrapText="1"/>
    </xf>
    <xf numFmtId="0" fontId="11" fillId="0" borderId="38" xfId="0" applyFont="1" applyBorder="1" applyAlignment="1">
      <alignment horizontal="center" vertical="center" wrapText="1"/>
    </xf>
    <xf numFmtId="3" fontId="11" fillId="0" borderId="51" xfId="0" applyNumberFormat="1" applyFont="1" applyBorder="1" applyAlignment="1">
      <alignment horizontal="center" vertical="center" wrapText="1"/>
    </xf>
    <xf numFmtId="3" fontId="11" fillId="0" borderId="38" xfId="0" applyNumberFormat="1" applyFont="1" applyBorder="1" applyAlignment="1">
      <alignment horizontal="center" vertical="center" wrapText="1"/>
    </xf>
    <xf numFmtId="3" fontId="62" fillId="0" borderId="39" xfId="0" applyNumberFormat="1" applyFont="1" applyBorder="1" applyAlignment="1">
      <alignment horizontal="center" vertical="center" wrapText="1"/>
    </xf>
    <xf numFmtId="3" fontId="62" fillId="0" borderId="40" xfId="0" applyNumberFormat="1" applyFont="1" applyBorder="1" applyAlignment="1">
      <alignment horizontal="center" vertical="center" wrapText="1"/>
    </xf>
    <xf numFmtId="0" fontId="60" fillId="9" borderId="3" xfId="0" applyFont="1" applyFill="1" applyBorder="1" applyAlignment="1">
      <alignment horizontal="left" vertical="center" wrapText="1"/>
    </xf>
    <xf numFmtId="0" fontId="12" fillId="0" borderId="8" xfId="0" applyFont="1" applyBorder="1" applyAlignment="1">
      <alignment horizontal="left" vertical="center" wrapText="1"/>
    </xf>
  </cellXfs>
  <cellStyles count="17">
    <cellStyle name="Accent2" xfId="1" builtinId="33"/>
    <cellStyle name="Accent5" xfId="2" builtinId="45"/>
    <cellStyle name="Accent6" xfId="3" builtinId="49"/>
    <cellStyle name="Comma" xfId="4" builtinId="3"/>
    <cellStyle name="Comma 3" xfId="5"/>
    <cellStyle name="Comma 5" xfId="6"/>
    <cellStyle name="Normal" xfId="0" builtinId="0"/>
    <cellStyle name="Normal 113" xfId="7"/>
    <cellStyle name="Normal 117" xfId="8"/>
    <cellStyle name="Normal 127" xfId="9"/>
    <cellStyle name="Normal 2" xfId="15"/>
    <cellStyle name="Normal 2 2" xfId="16"/>
    <cellStyle name="Normal 3" xfId="10"/>
    <cellStyle name="Normal 3 4" xfId="11"/>
    <cellStyle name="Normal 4 2" xfId="12"/>
    <cellStyle name="Normal 5 4" xfId="13"/>
    <cellStyle name="Percent" xfId="14" builtinId="5"/>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customXml" Target="../customXml/item1.xml"/><Relationship Id="rId5" Type="http://schemas.openxmlformats.org/officeDocument/2006/relationships/chartsheet" Target="chartsheets/sheet2.xml"/><Relationship Id="rId10" Type="http://schemas.openxmlformats.org/officeDocument/2006/relationships/calcChain" Target="calcChain.xml"/><Relationship Id="rId4" Type="http://schemas.openxmlformats.org/officeDocument/2006/relationships/chartsheet" Target="chartsheets/sheet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576312335958007"/>
          <c:y val="0.19486111111111112"/>
          <c:w val="0.69963276465441815"/>
          <c:h val="0.61498432487605714"/>
        </c:manualLayout>
      </c:layout>
      <c:barChart>
        <c:barDir val="bar"/>
        <c:grouping val="percentStacked"/>
        <c:varyColors val="0"/>
        <c:ser>
          <c:idx val="0"/>
          <c:order val="0"/>
          <c:tx>
            <c:strRef>
              <c:f>'Totali_Qellimet politike'!$L$59</c:f>
              <c:strCache>
                <c:ptCount val="1"/>
                <c:pt idx="0">
                  <c:v>Kosto Kapitale</c:v>
                </c:pt>
              </c:strCache>
            </c:strRef>
          </c:tx>
          <c:spPr>
            <a:solidFill>
              <a:schemeClr val="accent1"/>
            </a:solidFill>
            <a:ln>
              <a:no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958-40DA-980C-9D3E859BEEE2}"/>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58-40DA-980C-9D3E859BEEE2}"/>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'Totali_Qellimet politike'!$J$60:$J$64</c:f>
              <c:strCache>
                <c:ptCount val="5"/>
                <c:pt idx="0">
                  <c:v>Qëllimi i Politikës I</c:v>
                </c:pt>
                <c:pt idx="1">
                  <c:v>Qëllimi i Politikës II</c:v>
                </c:pt>
                <c:pt idx="2">
                  <c:v>Qëllimi i Politikës III</c:v>
                </c:pt>
                <c:pt idx="3">
                  <c:v>Qëllimi i Politikës IV</c:v>
                </c:pt>
                <c:pt idx="4">
                  <c:v>Qëllimi i Politikës V</c:v>
                </c:pt>
              </c:strCache>
            </c:strRef>
          </c:cat>
          <c:val>
            <c:numRef>
              <c:f>'Totali_Qellimet politike'!$L$60:$L$64</c:f>
              <c:numCache>
                <c:formatCode>#,##0</c:formatCode>
                <c:ptCount val="5"/>
                <c:pt idx="0">
                  <c:v>0</c:v>
                </c:pt>
                <c:pt idx="1">
                  <c:v>0</c:v>
                </c:pt>
                <c:pt idx="2">
                  <c:v>1799001000</c:v>
                </c:pt>
                <c:pt idx="3">
                  <c:v>184000000</c:v>
                </c:pt>
                <c:pt idx="4">
                  <c:v>0</c:v>
                </c:pt>
              </c:numCache>
            </c:numRef>
          </c:val>
          <c:extLst>
            <c:ext xmlns:c16="http://schemas.microsoft.com/office/drawing/2014/chart" uri="{C3380CC4-5D6E-409C-BE32-E72D297353CC}">
              <c16:uniqueId val="{00000000-B958-40DA-980C-9D3E859BEEE2}"/>
            </c:ext>
          </c:extLst>
        </c:ser>
        <c:ser>
          <c:idx val="1"/>
          <c:order val="1"/>
          <c:tx>
            <c:strRef>
              <c:f>'Totali_Qellimet politike'!$K$59</c:f>
              <c:strCache>
                <c:ptCount val="1"/>
                <c:pt idx="0">
                  <c:v>Kosto Korente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'Totali_Qellimet politike'!$J$60:$J$64</c:f>
              <c:strCache>
                <c:ptCount val="5"/>
                <c:pt idx="0">
                  <c:v>Qëllimi i Politikës I</c:v>
                </c:pt>
                <c:pt idx="1">
                  <c:v>Qëllimi i Politikës II</c:v>
                </c:pt>
                <c:pt idx="2">
                  <c:v>Qëllimi i Politikës III</c:v>
                </c:pt>
                <c:pt idx="3">
                  <c:v>Qëllimi i Politikës IV</c:v>
                </c:pt>
                <c:pt idx="4">
                  <c:v>Qëllimi i Politikës V</c:v>
                </c:pt>
              </c:strCache>
            </c:strRef>
          </c:cat>
          <c:val>
            <c:numRef>
              <c:f>'Totali_Qellimet politike'!$K$60:$K$64</c:f>
              <c:numCache>
                <c:formatCode>#,##0</c:formatCode>
                <c:ptCount val="5"/>
                <c:pt idx="0">
                  <c:v>429547445.19999999</c:v>
                </c:pt>
                <c:pt idx="1">
                  <c:v>449795730</c:v>
                </c:pt>
                <c:pt idx="2">
                  <c:v>1114311091</c:v>
                </c:pt>
                <c:pt idx="3">
                  <c:v>150476249</c:v>
                </c:pt>
                <c:pt idx="4">
                  <c:v>340717455</c:v>
                </c:pt>
              </c:numCache>
            </c:numRef>
          </c:val>
          <c:extLst>
            <c:ext xmlns:c16="http://schemas.microsoft.com/office/drawing/2014/chart" uri="{C3380CC4-5D6E-409C-BE32-E72D297353CC}">
              <c16:uniqueId val="{00000001-B958-40DA-980C-9D3E859BEEE2}"/>
            </c:ext>
          </c:extLst>
        </c:ser>
        <c:dLbls>
          <c:showLegendKey val="0"/>
          <c:showVal val="0"/>
          <c:showCatName val="0"/>
          <c:showSerName val="0"/>
          <c:showPercent val="0"/>
          <c:showBubbleSize val="0"/>
        </c:dLbls>
        <c:gapWidth val="150"/>
        <c:overlap val="100"/>
        <c:axId val="1367724047"/>
        <c:axId val="1367725967"/>
      </c:barChart>
      <c:catAx>
        <c:axId val="136772404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367725967"/>
        <c:crosses val="autoZero"/>
        <c:auto val="1"/>
        <c:lblAlgn val="ctr"/>
        <c:lblOffset val="100"/>
        <c:noMultiLvlLbl val="0"/>
      </c:catAx>
      <c:valAx>
        <c:axId val="1367725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367724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753940656235205E-2"/>
          <c:y val="0.14768528710291931"/>
          <c:w val="0.91330960192067034"/>
          <c:h val="0.67796756993889262"/>
        </c:manualLayout>
      </c:layout>
      <c:barChart>
        <c:barDir val="col"/>
        <c:grouping val="percentStacked"/>
        <c:varyColors val="0"/>
        <c:ser>
          <c:idx val="0"/>
          <c:order val="0"/>
          <c:tx>
            <c:strRef>
              <c:f>'Totali_Qellimet politike'!$K$59</c:f>
              <c:strCache>
                <c:ptCount val="1"/>
                <c:pt idx="0">
                  <c:v>Kosto Korente</c:v>
                </c:pt>
              </c:strCache>
            </c:strRef>
          </c:tx>
          <c:spPr>
            <a:solidFill>
              <a:srgbClr val="5B9BD5"/>
            </a:solidFill>
            <a:ln w="25400">
              <a:noFill/>
            </a:ln>
          </c:spPr>
          <c:invertIfNegative val="0"/>
          <c:dLbls>
            <c:spPr>
              <a:noFill/>
              <a:ln w="25400">
                <a:noFill/>
              </a:ln>
            </c:spPr>
            <c:txPr>
              <a:bodyPr rot="-540000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'Totali_Qellimet politike'!$J$60:$J$67</c:f>
              <c:strCache>
                <c:ptCount val="5"/>
                <c:pt idx="0">
                  <c:v>Qëllimi i Politikës I</c:v>
                </c:pt>
                <c:pt idx="1">
                  <c:v>Qëllimi i Politikës II</c:v>
                </c:pt>
                <c:pt idx="2">
                  <c:v>Qëllimi i Politikës III</c:v>
                </c:pt>
                <c:pt idx="3">
                  <c:v>Qëllimi i Politikës IV</c:v>
                </c:pt>
                <c:pt idx="4">
                  <c:v>Qëllimi i Politikës V</c:v>
                </c:pt>
              </c:strCache>
            </c:strRef>
          </c:cat>
          <c:val>
            <c:numRef>
              <c:f>'Totali_Qellimet politike'!$K$60:$K$67</c:f>
              <c:numCache>
                <c:formatCode>#,##0</c:formatCode>
                <c:ptCount val="8"/>
                <c:pt idx="0">
                  <c:v>429547445.19999999</c:v>
                </c:pt>
                <c:pt idx="1">
                  <c:v>449795730</c:v>
                </c:pt>
                <c:pt idx="2">
                  <c:v>1114311091</c:v>
                </c:pt>
                <c:pt idx="3">
                  <c:v>150476249</c:v>
                </c:pt>
                <c:pt idx="4">
                  <c:v>340717455</c:v>
                </c:pt>
              </c:numCache>
            </c:numRef>
          </c:val>
          <c:extLst>
            <c:ext xmlns:c16="http://schemas.microsoft.com/office/drawing/2014/chart" uri="{C3380CC4-5D6E-409C-BE32-E72D297353CC}">
              <c16:uniqueId val="{00000000-2119-4FDB-8ED3-3C62C1921FE9}"/>
            </c:ext>
          </c:extLst>
        </c:ser>
        <c:ser>
          <c:idx val="1"/>
          <c:order val="1"/>
          <c:tx>
            <c:strRef>
              <c:f>'Totali_Qellimet politike'!$L$59</c:f>
              <c:strCache>
                <c:ptCount val="1"/>
                <c:pt idx="0">
                  <c:v>Kosto Kapitale</c:v>
                </c:pt>
              </c:strCache>
            </c:strRef>
          </c:tx>
          <c:spPr>
            <a:solidFill>
              <a:srgbClr val="ED7D31"/>
            </a:solidFill>
            <a:ln w="25400">
              <a:no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119-4FDB-8ED3-3C62C1921FE9}"/>
                </c:ext>
              </c:extLst>
            </c:dLbl>
            <c:dLbl>
              <c:idx val="1"/>
              <c:delete val="1"/>
              <c:extLst>
                <c:ext xmlns:c15="http://schemas.microsoft.com/office/drawing/2012/chart" uri="{CE6537A1-D6FC-4f65-9D91-7224C49458BB}"/>
                <c:ext xmlns:c16="http://schemas.microsoft.com/office/drawing/2014/chart" uri="{C3380CC4-5D6E-409C-BE32-E72D297353CC}">
                  <c16:uniqueId val="{00000002-2119-4FDB-8ED3-3C62C1921FE9}"/>
                </c:ext>
              </c:extLst>
            </c:dLbl>
            <c:dLbl>
              <c:idx val="4"/>
              <c:delete val="1"/>
              <c:extLst>
                <c:ext xmlns:c15="http://schemas.microsoft.com/office/drawing/2012/chart" uri="{CE6537A1-D6FC-4f65-9D91-7224C49458BB}"/>
                <c:ext xmlns:c16="http://schemas.microsoft.com/office/drawing/2014/chart" uri="{C3380CC4-5D6E-409C-BE32-E72D297353CC}">
                  <c16:uniqueId val="{00000003-2119-4FDB-8ED3-3C62C1921FE9}"/>
                </c:ext>
              </c:extLst>
            </c:dLbl>
            <c:spPr>
              <a:noFill/>
              <a:ln>
                <a:noFill/>
              </a:ln>
              <a:effectLst/>
            </c:spPr>
            <c:txPr>
              <a:bodyPr rot="-5400000" vert="horz"/>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'Totali_Qellimet politike'!$J$60:$J$67</c:f>
              <c:strCache>
                <c:ptCount val="5"/>
                <c:pt idx="0">
                  <c:v>Qëllimi i Politikës I</c:v>
                </c:pt>
                <c:pt idx="1">
                  <c:v>Qëllimi i Politikës II</c:v>
                </c:pt>
                <c:pt idx="2">
                  <c:v>Qëllimi i Politikës III</c:v>
                </c:pt>
                <c:pt idx="3">
                  <c:v>Qëllimi i Politikës IV</c:v>
                </c:pt>
                <c:pt idx="4">
                  <c:v>Qëllimi i Politikës V</c:v>
                </c:pt>
              </c:strCache>
            </c:strRef>
          </c:cat>
          <c:val>
            <c:numRef>
              <c:f>'Totali_Qellimet politike'!$L$60:$L$67</c:f>
              <c:numCache>
                <c:formatCode>#,##0</c:formatCode>
                <c:ptCount val="8"/>
                <c:pt idx="0">
                  <c:v>0</c:v>
                </c:pt>
                <c:pt idx="1">
                  <c:v>0</c:v>
                </c:pt>
                <c:pt idx="2">
                  <c:v>1799001000</c:v>
                </c:pt>
                <c:pt idx="3">
                  <c:v>184000000</c:v>
                </c:pt>
                <c:pt idx="4">
                  <c:v>0</c:v>
                </c:pt>
              </c:numCache>
            </c:numRef>
          </c:val>
          <c:extLst>
            <c:ext xmlns:c16="http://schemas.microsoft.com/office/drawing/2014/chart" uri="{C3380CC4-5D6E-409C-BE32-E72D297353CC}">
              <c16:uniqueId val="{00000004-2119-4FDB-8ED3-3C62C1921FE9}"/>
            </c:ext>
          </c:extLst>
        </c:ser>
        <c:dLbls>
          <c:showLegendKey val="0"/>
          <c:showVal val="0"/>
          <c:showCatName val="0"/>
          <c:showSerName val="0"/>
          <c:showPercent val="0"/>
          <c:showBubbleSize val="0"/>
        </c:dLbls>
        <c:gapWidth val="55"/>
        <c:overlap val="100"/>
        <c:axId val="96667136"/>
        <c:axId val="96668672"/>
      </c:barChart>
      <c:catAx>
        <c:axId val="96667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96668672"/>
        <c:crosses val="autoZero"/>
        <c:auto val="1"/>
        <c:lblAlgn val="ctr"/>
        <c:lblOffset val="100"/>
        <c:noMultiLvlLbl val="0"/>
      </c:catAx>
      <c:valAx>
        <c:axId val="96668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667136"/>
        <c:crosses val="autoZero"/>
        <c:crossBetween val="between"/>
      </c:valAx>
      <c:spPr>
        <a:noFill/>
        <a:ln w="25400">
          <a:noFill/>
        </a:ln>
      </c:spPr>
    </c:plotArea>
    <c:legend>
      <c:legendPos val="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sz="1400">
                <a:latin typeface="Times New Roman" panose="02020603050405020304" pitchFamily="18" charset="0"/>
                <a:cs typeface="Times New Roman" panose="02020603050405020304" pitchFamily="18" charset="0"/>
              </a:rPr>
              <a:t>NDARJA E SHPENZIMEVE</a:t>
            </a:r>
          </a:p>
        </c:rich>
      </c:tx>
      <c:overlay val="0"/>
      <c:spPr>
        <a:noFill/>
        <a:ln w="25400">
          <a:noFill/>
        </a:ln>
      </c:spPr>
    </c:title>
    <c:autoTitleDeleted val="0"/>
    <c:plotArea>
      <c:layout>
        <c:manualLayout>
          <c:layoutTarget val="inner"/>
          <c:xMode val="edge"/>
          <c:yMode val="edge"/>
          <c:x val="0.25440140845070419"/>
          <c:y val="0.18090452261306531"/>
          <c:w val="0.49031690140845868"/>
          <c:h val="0.6997487437186006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4102-4754-9CF7-72D105DE9EC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4102-4754-9CF7-72D105DE9EC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4102-4754-9CF7-72D105DE9EC4}"/>
              </c:ext>
            </c:extLst>
          </c:dPt>
          <c:dLbls>
            <c:dLbl>
              <c:idx val="2"/>
              <c:layout>
                <c:manualLayout>
                  <c:x val="0.15486733580853251"/>
                  <c:y val="-0.14107436570428697"/>
                </c:manualLayout>
              </c:layout>
              <c:numFmt formatCode="0.0%" sourceLinked="0"/>
              <c:spPr>
                <a:noFill/>
                <a:ln w="25400">
                  <a:noFill/>
                </a:ln>
              </c:spPr>
              <c:txPr>
                <a:bodyPr rot="0" spcFirstLastPara="1" vertOverflow="ellipsis" vert="horz" wrap="square" lIns="38100" tIns="19050" rIns="38100" bIns="19050" anchor="ctr" anchorCtr="1">
                  <a:noAutofit/>
                </a:bodyPr>
                <a:lstStyle/>
                <a:p>
                  <a:pPr>
                    <a:defRPr sz="14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17881403995065301"/>
                      <c:h val="7.468686868686869E-2"/>
                    </c:manualLayout>
                  </c15:layout>
                </c:ext>
                <c:ext xmlns:c16="http://schemas.microsoft.com/office/drawing/2014/chart" uri="{C3380CC4-5D6E-409C-BE32-E72D297353CC}">
                  <c16:uniqueId val="{00000002-4102-4754-9CF7-72D105DE9EC4}"/>
                </c:ext>
              </c:extLst>
            </c:dLbl>
            <c:numFmt formatCode="0.0%" sourceLinked="0"/>
            <c:spPr>
              <a:noFill/>
              <a:ln w="25400">
                <a:noFill/>
              </a:ln>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'Totali_Qellimet politike'!$G$61:$G$64</c:f>
              <c:strCache>
                <c:ptCount val="4"/>
                <c:pt idx="0">
                  <c:v>MTBP 2024-2026</c:v>
                </c:pt>
                <c:pt idx="1">
                  <c:v>Financim i Huaj /Burime te tjera</c:v>
                </c:pt>
                <c:pt idx="2">
                  <c:v>Buxheti 2027-2030</c:v>
                </c:pt>
                <c:pt idx="3">
                  <c:v>Hendek financiar 2024-2030</c:v>
                </c:pt>
              </c:strCache>
            </c:strRef>
          </c:cat>
          <c:val>
            <c:numRef>
              <c:f>'Totali_Qellimet politike'!$H$61:$H$64</c:f>
              <c:numCache>
                <c:formatCode>#,##0</c:formatCode>
                <c:ptCount val="4"/>
                <c:pt idx="0">
                  <c:v>2853162589.1999998</c:v>
                </c:pt>
                <c:pt idx="1">
                  <c:v>0</c:v>
                </c:pt>
                <c:pt idx="2">
                  <c:v>1138394541</c:v>
                </c:pt>
                <c:pt idx="3">
                  <c:v>-476291840</c:v>
                </c:pt>
              </c:numCache>
            </c:numRef>
          </c:val>
          <c:extLst>
            <c:ext xmlns:c16="http://schemas.microsoft.com/office/drawing/2014/chart" uri="{C3380CC4-5D6E-409C-BE32-E72D297353CC}">
              <c16:uniqueId val="{00000003-4102-4754-9CF7-72D105DE9EC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Times New Roman" panose="02020603050405020304" pitchFamily="18" charset="0"/>
                <a:ea typeface="Calibri"/>
                <a:cs typeface="Times New Roman" panose="02020603050405020304" pitchFamily="18" charset="0"/>
              </a:defRPr>
            </a:pPr>
            <a:r>
              <a:rPr lang="en-US" sz="1600" b="1" i="0" strike="noStrike">
                <a:solidFill>
                  <a:srgbClr val="333333"/>
                </a:solidFill>
                <a:latin typeface="Times New Roman" panose="02020603050405020304" pitchFamily="18" charset="0"/>
                <a:cs typeface="Times New Roman" panose="02020603050405020304" pitchFamily="18" charset="0"/>
              </a:rPr>
              <a:t>NATYRA EKONOMIKE E KOSTOVE TË </a:t>
            </a:r>
          </a:p>
          <a:p>
            <a:pPr>
              <a:defRPr sz="1600" b="1" i="0" u="none" strike="noStrike" baseline="0">
                <a:solidFill>
                  <a:srgbClr val="000000"/>
                </a:solidFill>
                <a:latin typeface="Times New Roman" panose="02020603050405020304" pitchFamily="18" charset="0"/>
                <a:ea typeface="Calibri"/>
                <a:cs typeface="Times New Roman" panose="02020603050405020304" pitchFamily="18" charset="0"/>
              </a:defRPr>
            </a:pPr>
            <a:r>
              <a:rPr lang="en-US" sz="1600" b="1" i="0" strike="noStrike">
                <a:solidFill>
                  <a:srgbClr val="333333"/>
                </a:solidFill>
                <a:latin typeface="Times New Roman" panose="02020603050405020304" pitchFamily="18" charset="0"/>
                <a:cs typeface="Times New Roman" panose="02020603050405020304" pitchFamily="18" charset="0"/>
              </a:rPr>
              <a:t>Planit të Veprimit</a:t>
            </a:r>
          </a:p>
          <a:p>
            <a:pPr>
              <a:defRPr sz="1600" b="1"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sz="1600" b="1" i="0" strike="noStrike">
              <a:solidFill>
                <a:srgbClr val="333333"/>
              </a:solidFill>
              <a:latin typeface="Times New Roman" panose="02020603050405020304" pitchFamily="18" charset="0"/>
              <a:cs typeface="Times New Roman" panose="02020603050405020304" pitchFamily="18"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9.1549295774648098E-2"/>
          <c:y val="0.18718592964824118"/>
          <c:w val="0.80897887323944706"/>
          <c:h val="0.72110552763820346"/>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0-63F5-4E5E-AD16-9FFE1CBB4185}"/>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1-63F5-4E5E-AD16-9FFE1CBB4185}"/>
              </c:ext>
            </c:extLst>
          </c:dPt>
          <c:dLbls>
            <c:spPr>
              <a:noFill/>
              <a:ln w="25400">
                <a:noFill/>
              </a:ln>
            </c:spPr>
            <c:txPr>
              <a:bodyPr wrap="square" lIns="38100" tIns="19050" rIns="38100" bIns="19050" anchor="ctr">
                <a:spAutoFit/>
              </a:bodyPr>
              <a:lstStyle/>
              <a:p>
                <a:pPr>
                  <a:defRPr sz="1600" b="1">
                    <a:latin typeface="Times New Roman" panose="02020603050405020304" pitchFamily="18" charset="0"/>
                    <a:cs typeface="Times New Roman" panose="02020603050405020304" pitchFamily="18" charset="0"/>
                  </a:defRPr>
                </a:pPr>
                <a:endParaRPr lang="en-US"/>
              </a:p>
            </c:txPr>
            <c:dLblPos val="ctr"/>
            <c:showLegendKey val="0"/>
            <c:showVal val="0"/>
            <c:showCatName val="1"/>
            <c:showSerName val="0"/>
            <c:showPercent val="1"/>
            <c:showBubbleSize val="0"/>
            <c:showLeaderLines val="1"/>
            <c:extLst>
              <c:ext xmlns:c15="http://schemas.microsoft.com/office/drawing/2012/chart" uri="{CE6537A1-D6FC-4f65-9D91-7224C49458BB}"/>
            </c:extLst>
          </c:dLbls>
          <c:cat>
            <c:strRef>
              <c:f>'Totali_Qellimet politike'!$G$75:$G$76</c:f>
              <c:strCache>
                <c:ptCount val="2"/>
                <c:pt idx="0">
                  <c:v>Kosto Korente </c:v>
                </c:pt>
                <c:pt idx="1">
                  <c:v>Kosto kapitale</c:v>
                </c:pt>
              </c:strCache>
            </c:strRef>
          </c:cat>
          <c:val>
            <c:numRef>
              <c:f>'Totali_Qellimet politike'!$H$75:$H$76</c:f>
              <c:numCache>
                <c:formatCode>#,##0</c:formatCode>
                <c:ptCount val="2"/>
                <c:pt idx="0">
                  <c:v>2484847970.1999998</c:v>
                </c:pt>
                <c:pt idx="1">
                  <c:v>1983001000</c:v>
                </c:pt>
              </c:numCache>
            </c:numRef>
          </c:val>
          <c:extLst>
            <c:ext xmlns:c16="http://schemas.microsoft.com/office/drawing/2014/chart" uri="{C3380CC4-5D6E-409C-BE32-E72D297353CC}">
              <c16:uniqueId val="{00000002-63F5-4E5E-AD16-9FFE1CBB418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753940656235205E-2"/>
          <c:y val="0.13355485318415578"/>
          <c:w val="0.91838859045748866"/>
          <c:h val="0.68402347018979126"/>
        </c:manualLayout>
      </c:layout>
      <c:barChart>
        <c:barDir val="col"/>
        <c:grouping val="percentStacked"/>
        <c:varyColors val="0"/>
        <c:ser>
          <c:idx val="0"/>
          <c:order val="0"/>
          <c:tx>
            <c:strRef>
              <c:f>'Totali_Qellimet politike'!$K$59</c:f>
              <c:strCache>
                <c:ptCount val="1"/>
                <c:pt idx="0">
                  <c:v>Kosto Korente</c:v>
                </c:pt>
              </c:strCache>
            </c:strRef>
          </c:tx>
          <c:spPr>
            <a:solidFill>
              <a:srgbClr val="5B9BD5"/>
            </a:solidFill>
            <a:ln w="25400">
              <a:noFill/>
            </a:ln>
          </c:spPr>
          <c:invertIfNegative val="0"/>
          <c:dLbls>
            <c:spPr>
              <a:noFill/>
              <a:ln w="25400">
                <a:noFill/>
              </a:ln>
            </c:spPr>
            <c:txPr>
              <a:bodyPr rot="-540000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'Totali_Qellimet politike'!$J$60:$J$67</c:f>
              <c:strCache>
                <c:ptCount val="5"/>
                <c:pt idx="0">
                  <c:v>Qëllimi i Politikës I</c:v>
                </c:pt>
                <c:pt idx="1">
                  <c:v>Qëllimi i Politikës II</c:v>
                </c:pt>
                <c:pt idx="2">
                  <c:v>Qëllimi i Politikës III</c:v>
                </c:pt>
                <c:pt idx="3">
                  <c:v>Qëllimi i Politikës IV</c:v>
                </c:pt>
                <c:pt idx="4">
                  <c:v>Qëllimi i Politikës V</c:v>
                </c:pt>
              </c:strCache>
            </c:strRef>
          </c:cat>
          <c:val>
            <c:numRef>
              <c:f>'Totali_Qellimet politike'!$K$60:$K$67</c:f>
              <c:numCache>
                <c:formatCode>#,##0</c:formatCode>
                <c:ptCount val="8"/>
                <c:pt idx="0">
                  <c:v>429547445.19999999</c:v>
                </c:pt>
                <c:pt idx="1">
                  <c:v>449795730</c:v>
                </c:pt>
                <c:pt idx="2">
                  <c:v>1114311091</c:v>
                </c:pt>
                <c:pt idx="3">
                  <c:v>150476249</c:v>
                </c:pt>
                <c:pt idx="4">
                  <c:v>340717455</c:v>
                </c:pt>
              </c:numCache>
            </c:numRef>
          </c:val>
          <c:extLst>
            <c:ext xmlns:c16="http://schemas.microsoft.com/office/drawing/2014/chart" uri="{C3380CC4-5D6E-409C-BE32-E72D297353CC}">
              <c16:uniqueId val="{00000000-AC12-4941-8768-3E71E5588C8C}"/>
            </c:ext>
          </c:extLst>
        </c:ser>
        <c:ser>
          <c:idx val="1"/>
          <c:order val="1"/>
          <c:tx>
            <c:strRef>
              <c:f>'Totali_Qellimet politike'!$L$59</c:f>
              <c:strCache>
                <c:ptCount val="1"/>
                <c:pt idx="0">
                  <c:v>Kosto Kapitale</c:v>
                </c:pt>
              </c:strCache>
            </c:strRef>
          </c:tx>
          <c:spPr>
            <a:solidFill>
              <a:srgbClr val="ED7D31"/>
            </a:solidFill>
            <a:ln w="25400">
              <a:no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A921-44C3-B98C-71D1EA2DE51A}"/>
                </c:ext>
              </c:extLst>
            </c:dLbl>
            <c:dLbl>
              <c:idx val="1"/>
              <c:delete val="1"/>
              <c:extLst>
                <c:ext xmlns:c15="http://schemas.microsoft.com/office/drawing/2012/chart" uri="{CE6537A1-D6FC-4f65-9D91-7224C49458BB}"/>
                <c:ext xmlns:c16="http://schemas.microsoft.com/office/drawing/2014/chart" uri="{C3380CC4-5D6E-409C-BE32-E72D297353CC}">
                  <c16:uniqueId val="{00000001-A921-44C3-B98C-71D1EA2DE51A}"/>
                </c:ext>
              </c:extLst>
            </c:dLbl>
            <c:dLbl>
              <c:idx val="4"/>
              <c:delete val="1"/>
              <c:extLst>
                <c:ext xmlns:c15="http://schemas.microsoft.com/office/drawing/2012/chart" uri="{CE6537A1-D6FC-4f65-9D91-7224C49458BB}"/>
                <c:ext xmlns:c16="http://schemas.microsoft.com/office/drawing/2014/chart" uri="{C3380CC4-5D6E-409C-BE32-E72D297353CC}">
                  <c16:uniqueId val="{00000000-A921-44C3-B98C-71D1EA2DE51A}"/>
                </c:ext>
              </c:extLst>
            </c:dLbl>
            <c:spPr>
              <a:noFill/>
              <a:ln>
                <a:noFill/>
              </a:ln>
              <a:effectLst/>
            </c:spPr>
            <c:txPr>
              <a:bodyPr rot="-5400000" vert="horz"/>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'Totali_Qellimet politike'!$J$60:$J$67</c:f>
              <c:strCache>
                <c:ptCount val="5"/>
                <c:pt idx="0">
                  <c:v>Qëllimi i Politikës I</c:v>
                </c:pt>
                <c:pt idx="1">
                  <c:v>Qëllimi i Politikës II</c:v>
                </c:pt>
                <c:pt idx="2">
                  <c:v>Qëllimi i Politikës III</c:v>
                </c:pt>
                <c:pt idx="3">
                  <c:v>Qëllimi i Politikës IV</c:v>
                </c:pt>
                <c:pt idx="4">
                  <c:v>Qëllimi i Politikës V</c:v>
                </c:pt>
              </c:strCache>
            </c:strRef>
          </c:cat>
          <c:val>
            <c:numRef>
              <c:f>'Totali_Qellimet politike'!$L$60:$L$67</c:f>
              <c:numCache>
                <c:formatCode>#,##0</c:formatCode>
                <c:ptCount val="8"/>
                <c:pt idx="0">
                  <c:v>0</c:v>
                </c:pt>
                <c:pt idx="1">
                  <c:v>0</c:v>
                </c:pt>
                <c:pt idx="2">
                  <c:v>1799001000</c:v>
                </c:pt>
                <c:pt idx="3">
                  <c:v>184000000</c:v>
                </c:pt>
                <c:pt idx="4">
                  <c:v>0</c:v>
                </c:pt>
              </c:numCache>
            </c:numRef>
          </c:val>
          <c:extLst>
            <c:ext xmlns:c16="http://schemas.microsoft.com/office/drawing/2014/chart" uri="{C3380CC4-5D6E-409C-BE32-E72D297353CC}">
              <c16:uniqueId val="{00000001-AC12-4941-8768-3E71E5588C8C}"/>
            </c:ext>
          </c:extLst>
        </c:ser>
        <c:dLbls>
          <c:showLegendKey val="0"/>
          <c:showVal val="0"/>
          <c:showCatName val="0"/>
          <c:showSerName val="0"/>
          <c:showPercent val="0"/>
          <c:showBubbleSize val="0"/>
        </c:dLbls>
        <c:gapWidth val="55"/>
        <c:overlap val="100"/>
        <c:axId val="96667136"/>
        <c:axId val="96668672"/>
      </c:barChart>
      <c:catAx>
        <c:axId val="96667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96668672"/>
        <c:crosses val="autoZero"/>
        <c:auto val="1"/>
        <c:lblAlgn val="ctr"/>
        <c:lblOffset val="100"/>
        <c:noMultiLvlLbl val="0"/>
      </c:catAx>
      <c:valAx>
        <c:axId val="96668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667136"/>
        <c:crosses val="autoZero"/>
        <c:crossBetween val="between"/>
      </c:valAx>
      <c:spPr>
        <a:noFill/>
        <a:ln w="25400">
          <a:noFill/>
        </a:ln>
      </c:spPr>
    </c:plotArea>
    <c:legend>
      <c:legendPos val="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chartsheets/sheet1.xml><?xml version="1.0" encoding="utf-8"?>
<chartsheet xmlns="http://schemas.openxmlformats.org/spreadsheetml/2006/main" xmlns:r="http://schemas.openxmlformats.org/officeDocument/2006/relationships">
  <sheetPr>
    <tabColor theme="9" tint="-0.249977111117893"/>
  </sheetPr>
  <sheetViews>
    <sheetView zoomScale="78"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tabColor theme="9" tint="-0.249977111117893"/>
  </sheetPr>
  <sheetViews>
    <sheetView zoomScale="75"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tabColor theme="9" tint="-0.249977111117893"/>
  </sheetPr>
  <sheetViews>
    <sheetView zoomScale="79"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xdr:col>
      <xdr:colOff>666750</xdr:colOff>
      <xdr:row>79</xdr:row>
      <xdr:rowOff>12700</xdr:rowOff>
    </xdr:from>
    <xdr:to>
      <xdr:col>10</xdr:col>
      <xdr:colOff>406400</xdr:colOff>
      <xdr:row>108</xdr:row>
      <xdr:rowOff>76200</xdr:rowOff>
    </xdr:to>
    <xdr:graphicFrame macro="">
      <xdr:nvGraphicFramePr>
        <xdr:cNvPr id="2" name="Chart 1">
          <a:extLst>
            <a:ext uri="{FF2B5EF4-FFF2-40B4-BE49-F238E27FC236}">
              <a16:creationId xmlns:a16="http://schemas.microsoft.com/office/drawing/2014/main" id="{3CB8FD66-DFDE-A3EC-8F0B-730B2C6DC1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absoluteAnchor>
    <xdr:pos x="18275300" y="39497000"/>
    <xdr:ext cx="8665308" cy="6291385"/>
    <xdr:graphicFrame macro="">
      <xdr:nvGraphicFramePr>
        <xdr:cNvPr id="4" name="Chart 3">
          <a:extLst>
            <a:ext uri="{FF2B5EF4-FFF2-40B4-BE49-F238E27FC236}">
              <a16:creationId xmlns:a16="http://schemas.microsoft.com/office/drawing/2014/main" id="{3C512611-A46C-47FF-8077-F0F7F01C808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2076" cy="6269620"/>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6480" cy="6289040"/>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65308" cy="6291385"/>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W766"/>
  <sheetViews>
    <sheetView tabSelected="1" zoomScale="79" zoomScaleNormal="79" zoomScaleSheetLayoutView="87" workbookViewId="0">
      <selection activeCell="C742" sqref="C742"/>
    </sheetView>
  </sheetViews>
  <sheetFormatPr defaultColWidth="8.85546875" defaultRowHeight="15.75"/>
  <cols>
    <col min="1" max="1" width="2.42578125" style="5" customWidth="1"/>
    <col min="2" max="2" width="12.5703125" style="15" customWidth="1"/>
    <col min="3" max="3" width="59.85546875" style="5" customWidth="1"/>
    <col min="4" max="4" width="19.42578125" style="5" hidden="1" customWidth="1"/>
    <col min="5" max="5" width="29.7109375" style="6" customWidth="1"/>
    <col min="6" max="6" width="23.28515625" style="6" customWidth="1"/>
    <col min="7" max="7" width="18.5703125" style="6" customWidth="1"/>
    <col min="8" max="8" width="21" style="6" customWidth="1"/>
    <col min="9" max="9" width="18.28515625" style="9" customWidth="1"/>
    <col min="10" max="10" width="19.5703125" style="9" customWidth="1"/>
    <col min="11" max="11" width="17" style="9" customWidth="1"/>
    <col min="12" max="12" width="18.28515625" style="9" customWidth="1"/>
    <col min="13" max="13" width="20.85546875" style="9" customWidth="1"/>
    <col min="14" max="14" width="17" style="9" customWidth="1"/>
    <col min="15" max="15" width="17.5703125" style="9" customWidth="1"/>
    <col min="16" max="16" width="19.28515625" style="9" customWidth="1"/>
    <col min="17" max="17" width="20.140625" style="9" customWidth="1"/>
    <col min="18" max="18" width="22.28515625" style="9" customWidth="1"/>
    <col min="19" max="19" width="23.28515625" style="9" customWidth="1"/>
    <col min="20" max="20" width="19.85546875" style="9" customWidth="1"/>
    <col min="21" max="21" width="18.7109375" style="9" customWidth="1"/>
    <col min="22" max="22" width="20" style="9" customWidth="1"/>
    <col min="23" max="29" width="19.5703125" style="9" customWidth="1"/>
    <col min="30" max="30" width="19.85546875" style="128" customWidth="1"/>
    <col min="31" max="31" width="23.42578125" style="9" customWidth="1"/>
    <col min="32" max="32" width="24.7109375" style="9" customWidth="1"/>
    <col min="33" max="33" width="20.7109375" style="9" customWidth="1"/>
    <col min="34" max="35" width="21.85546875" style="9" customWidth="1"/>
    <col min="36" max="36" width="16.140625" style="9" customWidth="1"/>
    <col min="37" max="38" width="15.5703125" style="9" customWidth="1"/>
    <col min="39" max="39" width="18" style="9" customWidth="1"/>
    <col min="40" max="40" width="23" style="9" customWidth="1"/>
    <col min="41" max="41" width="17.28515625" style="9" customWidth="1"/>
    <col min="42" max="42" width="21.5703125" style="9" customWidth="1"/>
    <col min="43" max="43" width="21.28515625" style="9" customWidth="1"/>
    <col min="44" max="44" width="16.7109375" style="5" customWidth="1"/>
    <col min="45" max="45" width="18" style="5" customWidth="1"/>
    <col min="46" max="46" width="16.7109375" style="5" customWidth="1"/>
    <col min="47" max="47" width="15.140625" style="5" customWidth="1"/>
    <col min="48" max="48" width="16.5703125" style="5" customWidth="1"/>
    <col min="49" max="49" width="15.5703125" style="5" customWidth="1"/>
    <col min="50" max="16384" width="8.85546875" style="5"/>
  </cols>
  <sheetData>
    <row r="1" spans="2:44" ht="16.5" thickBot="1">
      <c r="C1" s="4"/>
      <c r="D1" s="4"/>
      <c r="E1" s="15"/>
    </row>
    <row r="2" spans="2:44" ht="39" customHeight="1" thickBot="1">
      <c r="B2" s="814" t="s">
        <v>251</v>
      </c>
      <c r="C2" s="861"/>
      <c r="D2" s="861"/>
      <c r="E2" s="861"/>
      <c r="F2" s="861"/>
      <c r="G2" s="861"/>
      <c r="H2" s="861"/>
      <c r="I2" s="861"/>
      <c r="J2" s="861"/>
      <c r="K2" s="861"/>
      <c r="L2" s="861"/>
      <c r="M2" s="861"/>
      <c r="N2" s="861"/>
      <c r="O2" s="861"/>
      <c r="P2" s="861"/>
      <c r="Q2" s="861"/>
      <c r="R2" s="861"/>
      <c r="S2" s="861"/>
      <c r="T2" s="861"/>
      <c r="U2" s="861"/>
      <c r="V2" s="861"/>
      <c r="W2" s="861"/>
      <c r="X2" s="861"/>
      <c r="Y2" s="861"/>
      <c r="Z2" s="861"/>
      <c r="AA2" s="861"/>
      <c r="AB2" s="861"/>
      <c r="AC2" s="861"/>
      <c r="AD2" s="861"/>
      <c r="AE2" s="861"/>
      <c r="AF2" s="861"/>
      <c r="AG2" s="861"/>
      <c r="AH2" s="861"/>
      <c r="AI2" s="861"/>
      <c r="AJ2" s="861"/>
      <c r="AK2" s="861"/>
      <c r="AL2" s="861"/>
      <c r="AM2" s="861"/>
      <c r="AN2" s="861"/>
      <c r="AO2" s="861"/>
      <c r="AP2" s="861"/>
      <c r="AQ2" s="862"/>
      <c r="AR2" s="47"/>
    </row>
    <row r="3" spans="2:44" ht="39" customHeight="1" thickBot="1">
      <c r="B3" s="814" t="s">
        <v>258</v>
      </c>
      <c r="C3" s="815"/>
      <c r="D3" s="815"/>
      <c r="E3" s="815"/>
      <c r="F3" s="815"/>
      <c r="G3" s="815"/>
      <c r="H3" s="815"/>
      <c r="I3" s="815"/>
      <c r="J3" s="815"/>
      <c r="K3" s="815"/>
      <c r="L3" s="815"/>
      <c r="M3" s="815"/>
      <c r="N3" s="815"/>
      <c r="O3" s="815"/>
      <c r="P3" s="815"/>
      <c r="Q3" s="815"/>
      <c r="R3" s="815"/>
      <c r="S3" s="815"/>
      <c r="T3" s="815"/>
      <c r="U3" s="815"/>
      <c r="V3" s="815"/>
      <c r="W3" s="815"/>
      <c r="X3" s="815"/>
      <c r="Y3" s="815"/>
      <c r="Z3" s="815"/>
      <c r="AA3" s="815"/>
      <c r="AB3" s="815"/>
      <c r="AC3" s="815"/>
      <c r="AD3" s="815"/>
      <c r="AE3" s="815"/>
      <c r="AF3" s="815"/>
      <c r="AG3" s="815"/>
      <c r="AH3" s="815"/>
      <c r="AI3" s="815"/>
      <c r="AJ3" s="815"/>
      <c r="AK3" s="815"/>
      <c r="AL3" s="815"/>
      <c r="AM3" s="815"/>
      <c r="AN3" s="815"/>
      <c r="AO3" s="815"/>
      <c r="AP3" s="815"/>
      <c r="AQ3" s="816"/>
      <c r="AR3" s="47"/>
    </row>
    <row r="4" spans="2:44" ht="43.5" customHeight="1" thickBot="1">
      <c r="B4" s="863" t="s">
        <v>249</v>
      </c>
      <c r="C4" s="864"/>
      <c r="D4" s="864"/>
      <c r="E4" s="864"/>
      <c r="F4" s="864"/>
      <c r="G4" s="864"/>
      <c r="H4" s="864"/>
      <c r="I4" s="864"/>
      <c r="J4" s="864"/>
      <c r="K4" s="864"/>
      <c r="L4" s="864"/>
      <c r="M4" s="864"/>
      <c r="N4" s="864"/>
      <c r="O4" s="864"/>
      <c r="P4" s="864"/>
      <c r="Q4" s="864"/>
      <c r="R4" s="864"/>
      <c r="S4" s="864"/>
      <c r="T4" s="864"/>
      <c r="U4" s="864"/>
      <c r="V4" s="864"/>
      <c r="W4" s="864"/>
      <c r="X4" s="864"/>
      <c r="Y4" s="864"/>
      <c r="Z4" s="864"/>
      <c r="AA4" s="864"/>
      <c r="AB4" s="864"/>
      <c r="AC4" s="864"/>
      <c r="AD4" s="864"/>
      <c r="AE4" s="864"/>
      <c r="AF4" s="864"/>
      <c r="AG4" s="864"/>
      <c r="AH4" s="864"/>
      <c r="AI4" s="864"/>
      <c r="AJ4" s="864"/>
      <c r="AK4" s="864"/>
      <c r="AL4" s="864"/>
      <c r="AM4" s="864"/>
      <c r="AN4" s="864"/>
      <c r="AO4" s="864"/>
      <c r="AP4" s="864"/>
      <c r="AQ4" s="865"/>
      <c r="AR4" s="47"/>
    </row>
    <row r="5" spans="2:44" ht="30.75" customHeight="1">
      <c r="B5" s="822" t="s">
        <v>0</v>
      </c>
      <c r="C5" s="836" t="s">
        <v>51</v>
      </c>
      <c r="D5" s="836" t="s">
        <v>1</v>
      </c>
      <c r="E5" s="836" t="s">
        <v>86</v>
      </c>
      <c r="F5" s="836"/>
      <c r="G5" s="836" t="s">
        <v>54</v>
      </c>
      <c r="H5" s="836"/>
      <c r="I5" s="817" t="s">
        <v>57</v>
      </c>
      <c r="J5" s="817"/>
      <c r="K5" s="817"/>
      <c r="L5" s="817" t="s">
        <v>58</v>
      </c>
      <c r="M5" s="817"/>
      <c r="N5" s="817"/>
      <c r="O5" s="817" t="s">
        <v>93</v>
      </c>
      <c r="P5" s="826"/>
      <c r="Q5" s="826"/>
      <c r="R5" s="825" t="s">
        <v>183</v>
      </c>
      <c r="S5" s="825"/>
      <c r="T5" s="825"/>
      <c r="U5" s="825" t="s">
        <v>182</v>
      </c>
      <c r="V5" s="825"/>
      <c r="W5" s="825"/>
      <c r="X5" s="825" t="s">
        <v>181</v>
      </c>
      <c r="Y5" s="825"/>
      <c r="Z5" s="825"/>
      <c r="AA5" s="825" t="s">
        <v>180</v>
      </c>
      <c r="AB5" s="825"/>
      <c r="AC5" s="825"/>
      <c r="AD5" s="825" t="s">
        <v>59</v>
      </c>
      <c r="AE5" s="826"/>
      <c r="AF5" s="826"/>
      <c r="AG5" s="817" t="s">
        <v>60</v>
      </c>
      <c r="AH5" s="817"/>
      <c r="AI5" s="817"/>
      <c r="AJ5" s="817"/>
      <c r="AK5" s="817"/>
      <c r="AL5" s="817"/>
      <c r="AM5" s="817"/>
      <c r="AN5" s="817" t="s">
        <v>65</v>
      </c>
      <c r="AO5" s="818"/>
      <c r="AP5" s="818"/>
      <c r="AQ5" s="843" t="s">
        <v>66</v>
      </c>
      <c r="AR5" s="47"/>
    </row>
    <row r="6" spans="2:44" ht="32.450000000000003" customHeight="1">
      <c r="B6" s="823"/>
      <c r="C6" s="837"/>
      <c r="D6" s="837"/>
      <c r="E6" s="830" t="s">
        <v>52</v>
      </c>
      <c r="F6" s="830" t="s">
        <v>53</v>
      </c>
      <c r="G6" s="833" t="s">
        <v>55</v>
      </c>
      <c r="H6" s="833" t="s">
        <v>1598</v>
      </c>
      <c r="I6" s="821"/>
      <c r="J6" s="821"/>
      <c r="K6" s="821"/>
      <c r="L6" s="821"/>
      <c r="M6" s="821"/>
      <c r="N6" s="821"/>
      <c r="O6" s="827"/>
      <c r="P6" s="827"/>
      <c r="Q6" s="827"/>
      <c r="R6" s="847"/>
      <c r="S6" s="847"/>
      <c r="T6" s="847"/>
      <c r="U6" s="847"/>
      <c r="V6" s="847"/>
      <c r="W6" s="847"/>
      <c r="X6" s="847"/>
      <c r="Y6" s="847"/>
      <c r="Z6" s="847"/>
      <c r="AA6" s="847"/>
      <c r="AB6" s="847"/>
      <c r="AC6" s="847"/>
      <c r="AD6" s="827"/>
      <c r="AE6" s="827"/>
      <c r="AF6" s="827"/>
      <c r="AG6" s="821" t="s">
        <v>184</v>
      </c>
      <c r="AH6" s="854"/>
      <c r="AI6" s="854"/>
      <c r="AJ6" s="821" t="s">
        <v>94</v>
      </c>
      <c r="AK6" s="853"/>
      <c r="AL6" s="853"/>
      <c r="AM6" s="853"/>
      <c r="AN6" s="819" t="s">
        <v>185</v>
      </c>
      <c r="AO6" s="819"/>
      <c r="AP6" s="819"/>
      <c r="AQ6" s="844"/>
      <c r="AR6" s="47"/>
    </row>
    <row r="7" spans="2:44" ht="33.6" customHeight="1">
      <c r="B7" s="872"/>
      <c r="C7" s="838"/>
      <c r="D7" s="838"/>
      <c r="E7" s="831"/>
      <c r="F7" s="831"/>
      <c r="G7" s="834"/>
      <c r="H7" s="834"/>
      <c r="I7" s="89"/>
      <c r="J7" s="89"/>
      <c r="K7" s="89"/>
      <c r="L7" s="89"/>
      <c r="M7" s="89"/>
      <c r="N7" s="89"/>
      <c r="O7" s="167"/>
      <c r="P7" s="167"/>
      <c r="Q7" s="167"/>
      <c r="R7" s="251"/>
      <c r="S7" s="251"/>
      <c r="T7" s="251"/>
      <c r="U7" s="251"/>
      <c r="V7" s="251"/>
      <c r="W7" s="251"/>
      <c r="X7" s="251"/>
      <c r="Y7" s="251"/>
      <c r="Z7" s="251"/>
      <c r="AA7" s="251"/>
      <c r="AB7" s="251"/>
      <c r="AC7" s="251"/>
      <c r="AD7" s="167"/>
      <c r="AE7" s="167"/>
      <c r="AF7" s="167"/>
      <c r="AG7" s="89"/>
      <c r="AH7" s="252"/>
      <c r="AI7" s="252"/>
      <c r="AJ7" s="89"/>
      <c r="AK7" s="253"/>
      <c r="AL7" s="253"/>
      <c r="AM7" s="253"/>
      <c r="AN7" s="176"/>
      <c r="AO7" s="176"/>
      <c r="AP7" s="176"/>
      <c r="AQ7" s="254"/>
      <c r="AR7" s="47"/>
    </row>
    <row r="8" spans="2:44" ht="35.450000000000003" customHeight="1" thickBot="1">
      <c r="B8" s="824"/>
      <c r="C8" s="839"/>
      <c r="D8" s="839"/>
      <c r="E8" s="832"/>
      <c r="F8" s="832"/>
      <c r="G8" s="835"/>
      <c r="H8" s="835"/>
      <c r="I8" s="53" t="s">
        <v>32</v>
      </c>
      <c r="J8" s="53" t="s">
        <v>33</v>
      </c>
      <c r="K8" s="53" t="s">
        <v>56</v>
      </c>
      <c r="L8" s="53" t="s">
        <v>32</v>
      </c>
      <c r="M8" s="53" t="s">
        <v>33</v>
      </c>
      <c r="N8" s="53" t="s">
        <v>37</v>
      </c>
      <c r="O8" s="53" t="s">
        <v>32</v>
      </c>
      <c r="P8" s="53" t="s">
        <v>33</v>
      </c>
      <c r="Q8" s="53" t="s">
        <v>37</v>
      </c>
      <c r="R8" s="53" t="s">
        <v>32</v>
      </c>
      <c r="S8" s="53" t="s">
        <v>33</v>
      </c>
      <c r="T8" s="53" t="s">
        <v>37</v>
      </c>
      <c r="U8" s="53" t="s">
        <v>32</v>
      </c>
      <c r="V8" s="53" t="s">
        <v>33</v>
      </c>
      <c r="W8" s="53" t="s">
        <v>37</v>
      </c>
      <c r="X8" s="53" t="s">
        <v>32</v>
      </c>
      <c r="Y8" s="53" t="s">
        <v>33</v>
      </c>
      <c r="Z8" s="53" t="s">
        <v>37</v>
      </c>
      <c r="AA8" s="53" t="s">
        <v>32</v>
      </c>
      <c r="AB8" s="53" t="s">
        <v>33</v>
      </c>
      <c r="AC8" s="53" t="s">
        <v>37</v>
      </c>
      <c r="AD8" s="53" t="s">
        <v>32</v>
      </c>
      <c r="AE8" s="53" t="s">
        <v>33</v>
      </c>
      <c r="AF8" s="53" t="s">
        <v>37</v>
      </c>
      <c r="AG8" s="53" t="s">
        <v>32</v>
      </c>
      <c r="AH8" s="53" t="s">
        <v>33</v>
      </c>
      <c r="AI8" s="53" t="s">
        <v>61</v>
      </c>
      <c r="AJ8" s="53" t="s">
        <v>32</v>
      </c>
      <c r="AK8" s="53" t="s">
        <v>33</v>
      </c>
      <c r="AL8" s="53" t="s">
        <v>63</v>
      </c>
      <c r="AM8" s="53" t="s">
        <v>64</v>
      </c>
      <c r="AN8" s="53" t="s">
        <v>32</v>
      </c>
      <c r="AO8" s="53" t="s">
        <v>33</v>
      </c>
      <c r="AP8" s="53" t="s">
        <v>61</v>
      </c>
      <c r="AQ8" s="54"/>
      <c r="AR8" s="47"/>
    </row>
    <row r="9" spans="2:44" ht="78.75" customHeight="1">
      <c r="B9" s="55">
        <v>1.1000000000000001</v>
      </c>
      <c r="C9" s="845" t="s">
        <v>259</v>
      </c>
      <c r="D9" s="846"/>
      <c r="E9" s="56"/>
      <c r="F9" s="56"/>
      <c r="G9" s="56"/>
      <c r="H9" s="56"/>
      <c r="I9" s="57"/>
      <c r="J9" s="57"/>
      <c r="K9" s="58"/>
      <c r="L9" s="57"/>
      <c r="M9" s="57"/>
      <c r="N9" s="58"/>
      <c r="O9" s="59"/>
      <c r="P9" s="58"/>
      <c r="Q9" s="58"/>
      <c r="R9" s="59"/>
      <c r="S9" s="58"/>
      <c r="T9" s="58"/>
      <c r="U9" s="59"/>
      <c r="V9" s="58"/>
      <c r="W9" s="58"/>
      <c r="X9" s="58"/>
      <c r="Y9" s="58"/>
      <c r="Z9" s="58"/>
      <c r="AA9" s="58"/>
      <c r="AB9" s="58"/>
      <c r="AC9" s="58"/>
      <c r="AD9" s="59"/>
      <c r="AE9" s="59"/>
      <c r="AF9" s="59"/>
      <c r="AG9" s="59"/>
      <c r="AH9" s="58"/>
      <c r="AI9" s="58"/>
      <c r="AJ9" s="59"/>
      <c r="AK9" s="58"/>
      <c r="AL9" s="58"/>
      <c r="AM9" s="58"/>
      <c r="AN9" s="59"/>
      <c r="AO9" s="58"/>
      <c r="AP9" s="58"/>
      <c r="AQ9" s="60"/>
      <c r="AR9" s="47"/>
    </row>
    <row r="10" spans="2:44" ht="27.6" customHeight="1">
      <c r="B10" s="61"/>
      <c r="C10" s="62" t="s">
        <v>68</v>
      </c>
      <c r="D10" s="63"/>
      <c r="E10" s="1"/>
      <c r="F10" s="1"/>
      <c r="G10" s="1"/>
      <c r="H10" s="1"/>
      <c r="I10" s="7"/>
      <c r="J10" s="7"/>
      <c r="K10" s="64"/>
      <c r="L10" s="7"/>
      <c r="M10" s="7"/>
      <c r="N10" s="64"/>
      <c r="O10" s="8"/>
      <c r="P10" s="64"/>
      <c r="Q10" s="64"/>
      <c r="R10" s="8"/>
      <c r="S10" s="64"/>
      <c r="T10" s="64"/>
      <c r="U10" s="8"/>
      <c r="V10" s="64"/>
      <c r="W10" s="64"/>
      <c r="X10" s="64"/>
      <c r="Y10" s="64"/>
      <c r="Z10" s="64"/>
      <c r="AA10" s="64"/>
      <c r="AB10" s="64"/>
      <c r="AC10" s="64"/>
      <c r="AD10" s="8"/>
      <c r="AE10" s="8"/>
      <c r="AF10" s="8"/>
      <c r="AG10" s="8"/>
      <c r="AH10" s="64"/>
      <c r="AI10" s="64"/>
      <c r="AJ10" s="8"/>
      <c r="AK10" s="64"/>
      <c r="AL10" s="64"/>
      <c r="AM10" s="64"/>
      <c r="AN10" s="8"/>
      <c r="AO10" s="64"/>
      <c r="AP10" s="64"/>
      <c r="AQ10" s="65"/>
      <c r="AR10" s="47"/>
    </row>
    <row r="11" spans="2:44" ht="87.6" customHeight="1" thickBot="1">
      <c r="B11" s="182" t="s">
        <v>87</v>
      </c>
      <c r="C11" s="191" t="s">
        <v>260</v>
      </c>
      <c r="D11" s="184"/>
      <c r="E11" s="186" t="s">
        <v>268</v>
      </c>
      <c r="F11" s="186" t="s">
        <v>265</v>
      </c>
      <c r="G11" s="195">
        <v>2024</v>
      </c>
      <c r="H11" s="195">
        <v>2030</v>
      </c>
      <c r="I11" s="189">
        <f>SUM(I12:I15)</f>
        <v>8933680</v>
      </c>
      <c r="J11" s="189">
        <f>SUM(J12:J15)</f>
        <v>0</v>
      </c>
      <c r="K11" s="190">
        <f>I11+J11</f>
        <v>8933680</v>
      </c>
      <c r="L11" s="189">
        <f>SUM(L12:L15)</f>
        <v>8933680</v>
      </c>
      <c r="M11" s="189">
        <f>SUM(M12:M15)</f>
        <v>0</v>
      </c>
      <c r="N11" s="190">
        <f>L11+M11</f>
        <v>8933680</v>
      </c>
      <c r="O11" s="189">
        <f>SUM(O12:O15)</f>
        <v>4586840</v>
      </c>
      <c r="P11" s="189">
        <f>SUM(P12:P15)</f>
        <v>0</v>
      </c>
      <c r="Q11" s="190">
        <f>O11+P11</f>
        <v>4586840</v>
      </c>
      <c r="R11" s="189">
        <f>SUM(R12:R15)</f>
        <v>4586840</v>
      </c>
      <c r="S11" s="189">
        <f>SUM(S12:S15)</f>
        <v>0</v>
      </c>
      <c r="T11" s="190">
        <f>R11+S11</f>
        <v>4586840</v>
      </c>
      <c r="U11" s="189">
        <f>SUM(U12:U15)</f>
        <v>4586840</v>
      </c>
      <c r="V11" s="189">
        <f>SUM(V12:V15)</f>
        <v>0</v>
      </c>
      <c r="W11" s="190">
        <f>U11+V11</f>
        <v>4586840</v>
      </c>
      <c r="X11" s="190">
        <f>SUM(X12:X15)</f>
        <v>4586840</v>
      </c>
      <c r="Y11" s="190">
        <f>SUM(Y12:Y15)</f>
        <v>0</v>
      </c>
      <c r="Z11" s="190">
        <f>X11+Y11</f>
        <v>4586840</v>
      </c>
      <c r="AA11" s="190">
        <f>SUM(AA12:AA15)</f>
        <v>4586840</v>
      </c>
      <c r="AB11" s="190">
        <f>SUM(AB12:AB15)</f>
        <v>0</v>
      </c>
      <c r="AC11" s="190">
        <f>AA11+AB11</f>
        <v>4586840</v>
      </c>
      <c r="AD11" s="190">
        <f>I11+L11+O11+R11+U11+X11+AA11</f>
        <v>40801560</v>
      </c>
      <c r="AE11" s="190">
        <f>J11+M11+P11+S11+V11+Y11+AB11</f>
        <v>0</v>
      </c>
      <c r="AF11" s="190">
        <f>AD11+AE11</f>
        <v>40801560</v>
      </c>
      <c r="AG11" s="189">
        <f>SUM(AG12:AG15)</f>
        <v>22454200</v>
      </c>
      <c r="AH11" s="189">
        <f>SUM(AH12:AH15)</f>
        <v>0</v>
      </c>
      <c r="AI11" s="190">
        <f>AG11+AH11</f>
        <v>22454200</v>
      </c>
      <c r="AJ11" s="189">
        <f>SUM(AJ12:AJ15)</f>
        <v>0</v>
      </c>
      <c r="AK11" s="189">
        <f>SUM(AK12:AK15)</f>
        <v>0</v>
      </c>
      <c r="AL11" s="190"/>
      <c r="AM11" s="190">
        <f>AJ11+AK11</f>
        <v>0</v>
      </c>
      <c r="AN11" s="189">
        <f>SUM(AN12:AN15)</f>
        <v>18347360</v>
      </c>
      <c r="AO11" s="189">
        <f>SUM(AO12:AO15)</f>
        <v>0</v>
      </c>
      <c r="AP11" s="190">
        <f>AN11+AO11</f>
        <v>18347360</v>
      </c>
      <c r="AQ11" s="196">
        <f>SUM(AP11+AM11+AI11)-AF11</f>
        <v>0</v>
      </c>
      <c r="AR11" s="47"/>
    </row>
    <row r="12" spans="2:44" ht="73.150000000000006" customHeight="1">
      <c r="B12" s="61" t="s">
        <v>102</v>
      </c>
      <c r="C12" s="255" t="s">
        <v>261</v>
      </c>
      <c r="D12" s="67"/>
      <c r="E12" s="331" t="s">
        <v>265</v>
      </c>
      <c r="F12" s="334"/>
      <c r="G12" s="256">
        <v>2024</v>
      </c>
      <c r="H12" s="256">
        <v>2030</v>
      </c>
      <c r="I12" s="7">
        <v>3260130</v>
      </c>
      <c r="J12" s="7">
        <v>0</v>
      </c>
      <c r="K12" s="257">
        <f t="shared" ref="K12:K15" si="0">I12+J12</f>
        <v>3260130</v>
      </c>
      <c r="L12" s="7">
        <v>3260130</v>
      </c>
      <c r="M12" s="7">
        <v>0</v>
      </c>
      <c r="N12" s="257">
        <f t="shared" ref="N12:N23" si="1">L12+M12</f>
        <v>3260130</v>
      </c>
      <c r="O12" s="7">
        <v>3260130</v>
      </c>
      <c r="P12" s="7">
        <v>0</v>
      </c>
      <c r="Q12" s="257">
        <f t="shared" ref="Q12:Q23" si="2">O12+P12</f>
        <v>3260130</v>
      </c>
      <c r="R12" s="7">
        <v>3260130</v>
      </c>
      <c r="S12" s="7">
        <v>0</v>
      </c>
      <c r="T12" s="257">
        <f>R12+S12</f>
        <v>3260130</v>
      </c>
      <c r="U12" s="7">
        <v>3260130</v>
      </c>
      <c r="V12" s="7">
        <v>0</v>
      </c>
      <c r="W12" s="257">
        <f t="shared" ref="W12:W15" si="3">U12+V12</f>
        <v>3260130</v>
      </c>
      <c r="X12" s="7">
        <v>3260130</v>
      </c>
      <c r="Y12" s="7">
        <v>0</v>
      </c>
      <c r="Z12" s="257">
        <f t="shared" ref="Z12:Z23" si="4">X12+Y12</f>
        <v>3260130</v>
      </c>
      <c r="AA12" s="7">
        <v>3260130</v>
      </c>
      <c r="AB12" s="7">
        <v>0</v>
      </c>
      <c r="AC12" s="257">
        <f t="shared" ref="AC12:AC39" si="5">AA12+AB12</f>
        <v>3260130</v>
      </c>
      <c r="AD12" s="8">
        <f t="shared" ref="AD12:AD39" si="6">I12+L12+O12+R12+U12+X12+AA12</f>
        <v>22820910</v>
      </c>
      <c r="AE12" s="8">
        <f t="shared" ref="AE12:AE15" si="7">J12+M12+P12+S12+V12+Y12+AB12</f>
        <v>0</v>
      </c>
      <c r="AF12" s="257">
        <f>AD12+AE12</f>
        <v>22820910</v>
      </c>
      <c r="AG12" s="8">
        <f>3260130*3</f>
        <v>9780390</v>
      </c>
      <c r="AH12" s="64">
        <v>0</v>
      </c>
      <c r="AI12" s="257">
        <f>SUM(AG12:AH12)</f>
        <v>9780390</v>
      </c>
      <c r="AJ12" s="8">
        <v>0</v>
      </c>
      <c r="AK12" s="64">
        <v>0</v>
      </c>
      <c r="AL12" s="64"/>
      <c r="AM12" s="257">
        <f>AJ12+AK12</f>
        <v>0</v>
      </c>
      <c r="AN12" s="8">
        <f>3260130*4</f>
        <v>13040520</v>
      </c>
      <c r="AO12" s="64">
        <v>0</v>
      </c>
      <c r="AP12" s="257">
        <f>SUM(AN12:AO12)</f>
        <v>13040520</v>
      </c>
      <c r="AQ12" s="69">
        <f>SUM(AP12+AM12+AI12)-AF12</f>
        <v>0</v>
      </c>
      <c r="AR12" s="47"/>
    </row>
    <row r="13" spans="2:44" ht="68.45" customHeight="1">
      <c r="B13" s="61" t="s">
        <v>103</v>
      </c>
      <c r="C13" s="326" t="s">
        <v>262</v>
      </c>
      <c r="D13" s="67"/>
      <c r="E13" s="332" t="s">
        <v>69</v>
      </c>
      <c r="F13" s="335" t="s">
        <v>267</v>
      </c>
      <c r="G13" s="256">
        <v>2024</v>
      </c>
      <c r="H13" s="256">
        <v>2030</v>
      </c>
      <c r="I13" s="7">
        <v>240000</v>
      </c>
      <c r="J13" s="7">
        <v>0</v>
      </c>
      <c r="K13" s="257">
        <f t="shared" si="0"/>
        <v>240000</v>
      </c>
      <c r="L13" s="7">
        <v>240000</v>
      </c>
      <c r="M13" s="7">
        <v>0</v>
      </c>
      <c r="N13" s="257">
        <f t="shared" si="1"/>
        <v>240000</v>
      </c>
      <c r="O13" s="7">
        <v>240000</v>
      </c>
      <c r="P13" s="7">
        <v>0</v>
      </c>
      <c r="Q13" s="257">
        <f t="shared" si="2"/>
        <v>240000</v>
      </c>
      <c r="R13" s="7">
        <v>240000</v>
      </c>
      <c r="S13" s="7">
        <v>0</v>
      </c>
      <c r="T13" s="257">
        <f t="shared" ref="T13:T15" si="8">R13+S13</f>
        <v>240000</v>
      </c>
      <c r="U13" s="7">
        <v>240000</v>
      </c>
      <c r="V13" s="7">
        <v>0</v>
      </c>
      <c r="W13" s="257">
        <f t="shared" si="3"/>
        <v>240000</v>
      </c>
      <c r="X13" s="7">
        <v>240000</v>
      </c>
      <c r="Y13" s="7">
        <v>0</v>
      </c>
      <c r="Z13" s="257">
        <f t="shared" si="4"/>
        <v>240000</v>
      </c>
      <c r="AA13" s="7">
        <v>240000</v>
      </c>
      <c r="AB13" s="7">
        <v>0</v>
      </c>
      <c r="AC13" s="257">
        <f t="shared" si="5"/>
        <v>240000</v>
      </c>
      <c r="AD13" s="8">
        <f t="shared" si="6"/>
        <v>1680000</v>
      </c>
      <c r="AE13" s="8">
        <f t="shared" si="7"/>
        <v>0</v>
      </c>
      <c r="AF13" s="257">
        <f t="shared" ref="AF13:AF23" si="9">SUM(AD13:AE13)</f>
        <v>1680000</v>
      </c>
      <c r="AG13" s="8">
        <f>240000*3</f>
        <v>720000</v>
      </c>
      <c r="AH13" s="64">
        <v>0</v>
      </c>
      <c r="AI13" s="257">
        <f>SUM(AG13:AH13)</f>
        <v>720000</v>
      </c>
      <c r="AJ13" s="8">
        <v>0</v>
      </c>
      <c r="AK13" s="64">
        <v>0</v>
      </c>
      <c r="AL13" s="64"/>
      <c r="AM13" s="257">
        <f t="shared" ref="AM13:AM39" si="10">AJ13+AK13</f>
        <v>0</v>
      </c>
      <c r="AN13" s="8">
        <f>240000*4</f>
        <v>960000</v>
      </c>
      <c r="AO13" s="64">
        <v>0</v>
      </c>
      <c r="AP13" s="257">
        <f>SUM(AN13:AO13)</f>
        <v>960000</v>
      </c>
      <c r="AQ13" s="69">
        <f t="shared" ref="AQ13:AQ113" si="11">SUM(AP13+AM13+AI13)-AF13</f>
        <v>0</v>
      </c>
      <c r="AR13" s="47"/>
    </row>
    <row r="14" spans="2:44" ht="55.15" customHeight="1">
      <c r="B14" s="61" t="s">
        <v>104</v>
      </c>
      <c r="C14" s="327" t="s">
        <v>263</v>
      </c>
      <c r="D14" s="67"/>
      <c r="E14" s="332" t="s">
        <v>69</v>
      </c>
      <c r="F14" s="335" t="s">
        <v>267</v>
      </c>
      <c r="G14" s="256">
        <v>2024</v>
      </c>
      <c r="H14" s="256">
        <v>2030</v>
      </c>
      <c r="I14" s="7">
        <v>1086710</v>
      </c>
      <c r="J14" s="7">
        <v>0</v>
      </c>
      <c r="K14" s="257">
        <f t="shared" si="0"/>
        <v>1086710</v>
      </c>
      <c r="L14" s="7">
        <v>1086710</v>
      </c>
      <c r="M14" s="7">
        <v>0</v>
      </c>
      <c r="N14" s="257">
        <f t="shared" si="1"/>
        <v>1086710</v>
      </c>
      <c r="O14" s="7">
        <v>1086710</v>
      </c>
      <c r="P14" s="7">
        <v>0</v>
      </c>
      <c r="Q14" s="257">
        <f t="shared" si="2"/>
        <v>1086710</v>
      </c>
      <c r="R14" s="7">
        <v>1086710</v>
      </c>
      <c r="S14" s="7">
        <v>0</v>
      </c>
      <c r="T14" s="257">
        <f t="shared" si="8"/>
        <v>1086710</v>
      </c>
      <c r="U14" s="7">
        <v>1086710</v>
      </c>
      <c r="V14" s="7">
        <v>0</v>
      </c>
      <c r="W14" s="257">
        <f t="shared" si="3"/>
        <v>1086710</v>
      </c>
      <c r="X14" s="7">
        <v>1086710</v>
      </c>
      <c r="Y14" s="7">
        <v>0</v>
      </c>
      <c r="Z14" s="257">
        <f t="shared" si="4"/>
        <v>1086710</v>
      </c>
      <c r="AA14" s="7">
        <v>1086710</v>
      </c>
      <c r="AB14" s="7">
        <v>0</v>
      </c>
      <c r="AC14" s="257">
        <f t="shared" si="5"/>
        <v>1086710</v>
      </c>
      <c r="AD14" s="8">
        <f t="shared" si="6"/>
        <v>7606970</v>
      </c>
      <c r="AE14" s="8">
        <f t="shared" si="7"/>
        <v>0</v>
      </c>
      <c r="AF14" s="257">
        <f t="shared" si="9"/>
        <v>7606970</v>
      </c>
      <c r="AG14" s="8">
        <f>1086710*3</f>
        <v>3260130</v>
      </c>
      <c r="AH14" s="64">
        <v>0</v>
      </c>
      <c r="AI14" s="257">
        <f>SUM(AG14:AH14)</f>
        <v>3260130</v>
      </c>
      <c r="AJ14" s="8">
        <v>0</v>
      </c>
      <c r="AK14" s="64">
        <v>0</v>
      </c>
      <c r="AL14" s="64"/>
      <c r="AM14" s="257">
        <f t="shared" si="10"/>
        <v>0</v>
      </c>
      <c r="AN14" s="8">
        <f>1086710*4</f>
        <v>4346840</v>
      </c>
      <c r="AO14" s="64">
        <v>0</v>
      </c>
      <c r="AP14" s="257">
        <f>SUM(AN14:AO14)</f>
        <v>4346840</v>
      </c>
      <c r="AQ14" s="69">
        <f t="shared" si="11"/>
        <v>0</v>
      </c>
      <c r="AR14" s="47"/>
    </row>
    <row r="15" spans="2:44" ht="80.45" customHeight="1" thickBot="1">
      <c r="B15" s="61" t="s">
        <v>105</v>
      </c>
      <c r="C15" s="328" t="s">
        <v>264</v>
      </c>
      <c r="D15" s="67"/>
      <c r="E15" s="333" t="s">
        <v>266</v>
      </c>
      <c r="F15" s="336" t="s">
        <v>69</v>
      </c>
      <c r="G15" s="256">
        <v>2024</v>
      </c>
      <c r="H15" s="256">
        <v>2030</v>
      </c>
      <c r="I15" s="7">
        <f>2*2173420</f>
        <v>4346840</v>
      </c>
      <c r="J15" s="7">
        <v>0</v>
      </c>
      <c r="K15" s="257">
        <f t="shared" si="0"/>
        <v>4346840</v>
      </c>
      <c r="L15" s="7">
        <f>2*2173420</f>
        <v>4346840</v>
      </c>
      <c r="M15" s="7">
        <v>0</v>
      </c>
      <c r="N15" s="257">
        <f t="shared" si="1"/>
        <v>4346840</v>
      </c>
      <c r="O15" s="7">
        <v>0</v>
      </c>
      <c r="P15" s="7">
        <v>0</v>
      </c>
      <c r="Q15" s="257">
        <f t="shared" si="2"/>
        <v>0</v>
      </c>
      <c r="R15" s="7">
        <v>0</v>
      </c>
      <c r="S15" s="7">
        <v>0</v>
      </c>
      <c r="T15" s="257">
        <f t="shared" si="8"/>
        <v>0</v>
      </c>
      <c r="U15" s="7">
        <v>0</v>
      </c>
      <c r="V15" s="7">
        <v>0</v>
      </c>
      <c r="W15" s="257">
        <f t="shared" si="3"/>
        <v>0</v>
      </c>
      <c r="X15" s="7">
        <v>0</v>
      </c>
      <c r="Y15" s="7">
        <v>0</v>
      </c>
      <c r="Z15" s="257">
        <f t="shared" si="4"/>
        <v>0</v>
      </c>
      <c r="AA15" s="7">
        <v>0</v>
      </c>
      <c r="AB15" s="7">
        <v>0</v>
      </c>
      <c r="AC15" s="257">
        <f t="shared" si="5"/>
        <v>0</v>
      </c>
      <c r="AD15" s="8">
        <f t="shared" si="6"/>
        <v>8693680</v>
      </c>
      <c r="AE15" s="8">
        <f t="shared" si="7"/>
        <v>0</v>
      </c>
      <c r="AF15" s="257">
        <f t="shared" si="9"/>
        <v>8693680</v>
      </c>
      <c r="AG15" s="8">
        <v>8693680</v>
      </c>
      <c r="AH15" s="64">
        <v>0</v>
      </c>
      <c r="AI15" s="257">
        <f>SUM(AG15:AH15)</f>
        <v>8693680</v>
      </c>
      <c r="AJ15" s="8">
        <v>0</v>
      </c>
      <c r="AK15" s="64">
        <v>0</v>
      </c>
      <c r="AL15" s="64"/>
      <c r="AM15" s="257">
        <f t="shared" si="10"/>
        <v>0</v>
      </c>
      <c r="AN15" s="8">
        <v>0</v>
      </c>
      <c r="AO15" s="64">
        <v>0</v>
      </c>
      <c r="AP15" s="257">
        <f>SUM(AN15:AO15)</f>
        <v>0</v>
      </c>
      <c r="AQ15" s="69">
        <f t="shared" si="11"/>
        <v>0</v>
      </c>
      <c r="AR15" s="47"/>
    </row>
    <row r="16" spans="2:44" ht="67.900000000000006" customHeight="1">
      <c r="B16" s="182" t="s">
        <v>88</v>
      </c>
      <c r="C16" s="258" t="s">
        <v>274</v>
      </c>
      <c r="D16" s="184"/>
      <c r="E16" s="186" t="s">
        <v>291</v>
      </c>
      <c r="F16" s="350" t="s">
        <v>286</v>
      </c>
      <c r="G16" s="350">
        <v>2024</v>
      </c>
      <c r="H16" s="350">
        <v>2027</v>
      </c>
      <c r="I16" s="189">
        <f>SUM(I17:I23)</f>
        <v>7606970</v>
      </c>
      <c r="J16" s="189">
        <f>SUM(J17:J23)</f>
        <v>0</v>
      </c>
      <c r="K16" s="190">
        <f>I16+J16</f>
        <v>7606970</v>
      </c>
      <c r="L16" s="189">
        <f>SUM(L17:L23)</f>
        <v>5673550</v>
      </c>
      <c r="M16" s="189">
        <f>SUM(M17:M23)</f>
        <v>0</v>
      </c>
      <c r="N16" s="190">
        <f>L16+M16</f>
        <v>5673550</v>
      </c>
      <c r="O16" s="189">
        <f>SUM(O17:O23)</f>
        <v>1800000</v>
      </c>
      <c r="P16" s="189">
        <f>SUM(P17:P23)</f>
        <v>0</v>
      </c>
      <c r="Q16" s="190">
        <f>O16+P16</f>
        <v>1800000</v>
      </c>
      <c r="R16" s="189">
        <f>SUM(R17:R23)</f>
        <v>0</v>
      </c>
      <c r="S16" s="189">
        <f>SUM(S17:S23)</f>
        <v>0</v>
      </c>
      <c r="T16" s="190">
        <f>R16+S16</f>
        <v>0</v>
      </c>
      <c r="U16" s="189">
        <f>SUM(U17:U23)</f>
        <v>0</v>
      </c>
      <c r="V16" s="189">
        <f>SUM(V17:V23)</f>
        <v>0</v>
      </c>
      <c r="W16" s="190">
        <f>U16+V16</f>
        <v>0</v>
      </c>
      <c r="X16" s="190">
        <f>SUM(X17:X23)</f>
        <v>0</v>
      </c>
      <c r="Y16" s="190">
        <f>SUM(Y17:Y23)</f>
        <v>0</v>
      </c>
      <c r="Z16" s="190">
        <f>X16+Y16</f>
        <v>0</v>
      </c>
      <c r="AA16" s="190">
        <f>SUM(AA17:AA23)</f>
        <v>0</v>
      </c>
      <c r="AB16" s="190">
        <f>SUM(AB17:AB23)</f>
        <v>0</v>
      </c>
      <c r="AC16" s="190">
        <f>AA16+AB16</f>
        <v>0</v>
      </c>
      <c r="AD16" s="190">
        <f>I16+L16+O16+R16+U16+X16+AA16</f>
        <v>15080520</v>
      </c>
      <c r="AE16" s="190">
        <f>J16+M16+P16+S16+V16+Y16+AB16</f>
        <v>0</v>
      </c>
      <c r="AF16" s="190">
        <f>AD16+AE16</f>
        <v>15080520</v>
      </c>
      <c r="AG16" s="189">
        <f>SUM(AG17:AG23)</f>
        <v>15080520</v>
      </c>
      <c r="AH16" s="189">
        <f>SUM(AH17:AH23)</f>
        <v>0</v>
      </c>
      <c r="AI16" s="190">
        <f>AG16+AH16</f>
        <v>15080520</v>
      </c>
      <c r="AJ16" s="189">
        <f>SUM(AJ17:AJ23)</f>
        <v>0</v>
      </c>
      <c r="AK16" s="189">
        <f>SUM(AK17:AK23)</f>
        <v>0</v>
      </c>
      <c r="AL16" s="190"/>
      <c r="AM16" s="189">
        <f>SUM(AM17:AM18)</f>
        <v>0</v>
      </c>
      <c r="AN16" s="189">
        <f>SUM(AN17:AN23)</f>
        <v>0</v>
      </c>
      <c r="AO16" s="190">
        <f>SUM(AO17:AO23)</f>
        <v>0</v>
      </c>
      <c r="AP16" s="190">
        <f>AN16+AO16</f>
        <v>0</v>
      </c>
      <c r="AQ16" s="196">
        <f>SUM(AP16+AM16+AI16)-AF16</f>
        <v>0</v>
      </c>
      <c r="AR16" s="47"/>
    </row>
    <row r="17" spans="2:44" ht="69.599999999999994" customHeight="1">
      <c r="B17" s="77" t="s">
        <v>106</v>
      </c>
      <c r="C17" s="337" t="s">
        <v>275</v>
      </c>
      <c r="D17" s="74"/>
      <c r="E17" s="339" t="s">
        <v>283</v>
      </c>
      <c r="F17" s="330" t="s">
        <v>286</v>
      </c>
      <c r="G17" s="347">
        <v>2024</v>
      </c>
      <c r="H17" s="344">
        <v>2024</v>
      </c>
      <c r="I17" s="760">
        <v>2173420</v>
      </c>
      <c r="J17" s="75">
        <v>0</v>
      </c>
      <c r="K17" s="261">
        <f>SUM(I17:J17)</f>
        <v>2173420</v>
      </c>
      <c r="L17" s="75">
        <v>0</v>
      </c>
      <c r="M17" s="259">
        <v>0</v>
      </c>
      <c r="N17" s="261">
        <f t="shared" si="1"/>
        <v>0</v>
      </c>
      <c r="O17" s="75">
        <v>0</v>
      </c>
      <c r="P17" s="259">
        <v>0</v>
      </c>
      <c r="Q17" s="261">
        <f t="shared" si="2"/>
        <v>0</v>
      </c>
      <c r="R17" s="75">
        <v>0</v>
      </c>
      <c r="S17" s="259">
        <v>0</v>
      </c>
      <c r="T17" s="261">
        <f t="shared" ref="T17:T31" si="12">R17+S17</f>
        <v>0</v>
      </c>
      <c r="U17" s="75">
        <v>0</v>
      </c>
      <c r="V17" s="259">
        <v>0</v>
      </c>
      <c r="W17" s="261">
        <f>SUM(U17:V17)</f>
        <v>0</v>
      </c>
      <c r="X17" s="75">
        <v>0</v>
      </c>
      <c r="Y17" s="259">
        <v>0</v>
      </c>
      <c r="Z17" s="261">
        <f t="shared" si="4"/>
        <v>0</v>
      </c>
      <c r="AA17" s="75">
        <v>0</v>
      </c>
      <c r="AB17" s="259">
        <v>0</v>
      </c>
      <c r="AC17" s="261">
        <f t="shared" si="5"/>
        <v>0</v>
      </c>
      <c r="AD17" s="76">
        <f t="shared" si="6"/>
        <v>2173420</v>
      </c>
      <c r="AE17" s="76">
        <f t="shared" ref="AE17:AE23" si="13">J17+M17+P17+S17+V17+Y17+AB17</f>
        <v>0</v>
      </c>
      <c r="AF17" s="261">
        <f t="shared" si="9"/>
        <v>2173420</v>
      </c>
      <c r="AG17" s="76">
        <v>2173420</v>
      </c>
      <c r="AH17" s="76">
        <v>0</v>
      </c>
      <c r="AI17" s="261">
        <f>SUM(AG17:AH17)</f>
        <v>2173420</v>
      </c>
      <c r="AJ17" s="76">
        <v>0</v>
      </c>
      <c r="AK17" s="76">
        <v>0</v>
      </c>
      <c r="AL17" s="76"/>
      <c r="AM17" s="261">
        <f t="shared" si="10"/>
        <v>0</v>
      </c>
      <c r="AN17" s="76">
        <v>0</v>
      </c>
      <c r="AO17" s="76">
        <f>AK17+AM17</f>
        <v>0</v>
      </c>
      <c r="AP17" s="261">
        <f>SUM(AN17:AO17)</f>
        <v>0</v>
      </c>
      <c r="AQ17" s="260">
        <f t="shared" si="11"/>
        <v>0</v>
      </c>
      <c r="AR17" s="47"/>
    </row>
    <row r="18" spans="2:44" ht="38.450000000000003" customHeight="1">
      <c r="B18" s="77" t="s">
        <v>107</v>
      </c>
      <c r="C18" s="327" t="s">
        <v>276</v>
      </c>
      <c r="D18" s="74"/>
      <c r="E18" s="330" t="s">
        <v>284</v>
      </c>
      <c r="F18" s="278"/>
      <c r="G18" s="348">
        <v>2024</v>
      </c>
      <c r="H18" s="345">
        <v>2024</v>
      </c>
      <c r="I18" s="760">
        <v>2173420</v>
      </c>
      <c r="J18" s="75">
        <v>0</v>
      </c>
      <c r="K18" s="261">
        <f t="shared" ref="K18:K23" si="14">SUM(I18:J18)</f>
        <v>2173420</v>
      </c>
      <c r="L18" s="75">
        <v>0</v>
      </c>
      <c r="M18" s="259">
        <v>0</v>
      </c>
      <c r="N18" s="261">
        <f t="shared" si="1"/>
        <v>0</v>
      </c>
      <c r="O18" s="75">
        <v>0</v>
      </c>
      <c r="P18" s="259">
        <v>0</v>
      </c>
      <c r="Q18" s="261">
        <f t="shared" si="2"/>
        <v>0</v>
      </c>
      <c r="R18" s="75">
        <v>0</v>
      </c>
      <c r="S18" s="259">
        <v>0</v>
      </c>
      <c r="T18" s="261">
        <f t="shared" si="12"/>
        <v>0</v>
      </c>
      <c r="U18" s="75">
        <v>0</v>
      </c>
      <c r="V18" s="259">
        <v>0</v>
      </c>
      <c r="W18" s="261">
        <f>SUM(U18:V18)</f>
        <v>0</v>
      </c>
      <c r="X18" s="75">
        <v>0</v>
      </c>
      <c r="Y18" s="259">
        <v>0</v>
      </c>
      <c r="Z18" s="261">
        <f t="shared" si="4"/>
        <v>0</v>
      </c>
      <c r="AA18" s="75">
        <v>0</v>
      </c>
      <c r="AB18" s="259">
        <v>0</v>
      </c>
      <c r="AC18" s="261">
        <f t="shared" si="5"/>
        <v>0</v>
      </c>
      <c r="AD18" s="76">
        <f t="shared" si="6"/>
        <v>2173420</v>
      </c>
      <c r="AE18" s="76">
        <f t="shared" si="13"/>
        <v>0</v>
      </c>
      <c r="AF18" s="261">
        <f t="shared" si="9"/>
        <v>2173420</v>
      </c>
      <c r="AG18" s="76">
        <v>2173420</v>
      </c>
      <c r="AH18" s="76">
        <v>0</v>
      </c>
      <c r="AI18" s="261">
        <f>SUM(AG18:AH18)</f>
        <v>2173420</v>
      </c>
      <c r="AJ18" s="76">
        <v>0</v>
      </c>
      <c r="AK18" s="76">
        <v>0</v>
      </c>
      <c r="AL18" s="76"/>
      <c r="AM18" s="261">
        <f t="shared" si="10"/>
        <v>0</v>
      </c>
      <c r="AN18" s="76">
        <v>0</v>
      </c>
      <c r="AO18" s="76">
        <v>0</v>
      </c>
      <c r="AP18" s="261">
        <f>SUM(AN18:AO18)</f>
        <v>0</v>
      </c>
      <c r="AQ18" s="260">
        <f t="shared" si="11"/>
        <v>0</v>
      </c>
      <c r="AR18" s="47"/>
    </row>
    <row r="19" spans="2:44" ht="44.45" customHeight="1">
      <c r="B19" s="77" t="s">
        <v>269</v>
      </c>
      <c r="C19" s="327" t="s">
        <v>281</v>
      </c>
      <c r="D19" s="74"/>
      <c r="E19" s="330" t="s">
        <v>284</v>
      </c>
      <c r="F19" s="97"/>
      <c r="G19" s="72">
        <v>2024</v>
      </c>
      <c r="H19" s="149">
        <v>2024</v>
      </c>
      <c r="I19" s="760">
        <v>3260130</v>
      </c>
      <c r="J19" s="75">
        <v>0</v>
      </c>
      <c r="K19" s="261">
        <f t="shared" si="14"/>
        <v>3260130</v>
      </c>
      <c r="L19" s="75">
        <v>0</v>
      </c>
      <c r="M19" s="259">
        <v>0</v>
      </c>
      <c r="N19" s="261">
        <f t="shared" si="1"/>
        <v>0</v>
      </c>
      <c r="O19" s="75">
        <v>0</v>
      </c>
      <c r="P19" s="259">
        <v>0</v>
      </c>
      <c r="Q19" s="261">
        <f t="shared" si="2"/>
        <v>0</v>
      </c>
      <c r="R19" s="75">
        <v>0</v>
      </c>
      <c r="S19" s="259">
        <v>0</v>
      </c>
      <c r="T19" s="261">
        <f t="shared" si="12"/>
        <v>0</v>
      </c>
      <c r="U19" s="75">
        <v>0</v>
      </c>
      <c r="V19" s="259">
        <v>0</v>
      </c>
      <c r="W19" s="261">
        <f t="shared" ref="W19:W23" si="15">SUM(U19:V19)</f>
        <v>0</v>
      </c>
      <c r="X19" s="75">
        <v>0</v>
      </c>
      <c r="Y19" s="259">
        <v>0</v>
      </c>
      <c r="Z19" s="261">
        <f t="shared" si="4"/>
        <v>0</v>
      </c>
      <c r="AA19" s="75">
        <v>0</v>
      </c>
      <c r="AB19" s="259">
        <v>0</v>
      </c>
      <c r="AC19" s="261">
        <f t="shared" si="5"/>
        <v>0</v>
      </c>
      <c r="AD19" s="76">
        <f t="shared" si="6"/>
        <v>3260130</v>
      </c>
      <c r="AE19" s="76">
        <f t="shared" si="13"/>
        <v>0</v>
      </c>
      <c r="AF19" s="261">
        <f t="shared" si="9"/>
        <v>3260130</v>
      </c>
      <c r="AG19" s="76">
        <v>3260130</v>
      </c>
      <c r="AH19" s="76">
        <v>0</v>
      </c>
      <c r="AI19" s="261">
        <f t="shared" ref="AI19:AI23" si="16">SUM(AG19:AH19)</f>
        <v>3260130</v>
      </c>
      <c r="AJ19" s="76">
        <v>0</v>
      </c>
      <c r="AK19" s="76">
        <v>0</v>
      </c>
      <c r="AL19" s="76"/>
      <c r="AM19" s="261">
        <f t="shared" si="10"/>
        <v>0</v>
      </c>
      <c r="AN19" s="76">
        <v>0</v>
      </c>
      <c r="AO19" s="76">
        <v>0</v>
      </c>
      <c r="AP19" s="261">
        <f t="shared" ref="AP19:AP23" si="17">SUM(AN19:AO19)</f>
        <v>0</v>
      </c>
      <c r="AQ19" s="260">
        <f t="shared" si="11"/>
        <v>0</v>
      </c>
      <c r="AR19" s="47"/>
    </row>
    <row r="20" spans="2:44" ht="44.45" customHeight="1">
      <c r="B20" s="77" t="s">
        <v>270</v>
      </c>
      <c r="C20" s="338" t="s">
        <v>282</v>
      </c>
      <c r="D20" s="74"/>
      <c r="E20" s="340" t="s">
        <v>284</v>
      </c>
      <c r="F20" s="97"/>
      <c r="G20" s="72">
        <v>2025</v>
      </c>
      <c r="H20" s="149">
        <v>2025</v>
      </c>
      <c r="I20" s="760">
        <v>0</v>
      </c>
      <c r="J20" s="75">
        <v>0</v>
      </c>
      <c r="K20" s="261">
        <f t="shared" si="14"/>
        <v>0</v>
      </c>
      <c r="L20" s="75">
        <v>2173420</v>
      </c>
      <c r="M20" s="259">
        <v>0</v>
      </c>
      <c r="N20" s="261">
        <f t="shared" si="1"/>
        <v>2173420</v>
      </c>
      <c r="O20" s="75">
        <v>0</v>
      </c>
      <c r="P20" s="259">
        <v>0</v>
      </c>
      <c r="Q20" s="261">
        <f t="shared" si="2"/>
        <v>0</v>
      </c>
      <c r="R20" s="75">
        <v>0</v>
      </c>
      <c r="S20" s="259">
        <v>0</v>
      </c>
      <c r="T20" s="261">
        <f t="shared" si="12"/>
        <v>0</v>
      </c>
      <c r="U20" s="75">
        <v>0</v>
      </c>
      <c r="V20" s="259">
        <v>0</v>
      </c>
      <c r="W20" s="261">
        <f t="shared" si="15"/>
        <v>0</v>
      </c>
      <c r="X20" s="75">
        <v>0</v>
      </c>
      <c r="Y20" s="259">
        <v>0</v>
      </c>
      <c r="Z20" s="261">
        <f t="shared" si="4"/>
        <v>0</v>
      </c>
      <c r="AA20" s="75">
        <v>0</v>
      </c>
      <c r="AB20" s="259">
        <v>0</v>
      </c>
      <c r="AC20" s="261">
        <f t="shared" si="5"/>
        <v>0</v>
      </c>
      <c r="AD20" s="76">
        <f t="shared" si="6"/>
        <v>2173420</v>
      </c>
      <c r="AE20" s="76">
        <f t="shared" si="13"/>
        <v>0</v>
      </c>
      <c r="AF20" s="261">
        <f t="shared" si="9"/>
        <v>2173420</v>
      </c>
      <c r="AG20" s="76">
        <v>2173420</v>
      </c>
      <c r="AH20" s="76">
        <v>0</v>
      </c>
      <c r="AI20" s="261">
        <f t="shared" si="16"/>
        <v>2173420</v>
      </c>
      <c r="AJ20" s="76">
        <v>0</v>
      </c>
      <c r="AK20" s="76">
        <v>0</v>
      </c>
      <c r="AL20" s="76"/>
      <c r="AM20" s="261">
        <f t="shared" si="10"/>
        <v>0</v>
      </c>
      <c r="AN20" s="76">
        <v>0</v>
      </c>
      <c r="AO20" s="76">
        <v>0</v>
      </c>
      <c r="AP20" s="261">
        <f t="shared" si="17"/>
        <v>0</v>
      </c>
      <c r="AQ20" s="260">
        <f t="shared" si="11"/>
        <v>0</v>
      </c>
      <c r="AR20" s="47"/>
    </row>
    <row r="21" spans="2:44" ht="31.15" customHeight="1">
      <c r="B21" s="77" t="s">
        <v>271</v>
      </c>
      <c r="C21" s="327" t="s">
        <v>279</v>
      </c>
      <c r="D21" s="74"/>
      <c r="E21" s="330" t="s">
        <v>284</v>
      </c>
      <c r="F21" s="97"/>
      <c r="G21" s="348">
        <v>2025</v>
      </c>
      <c r="H21" s="345">
        <v>2025</v>
      </c>
      <c r="I21" s="760">
        <v>0</v>
      </c>
      <c r="J21" s="75">
        <v>0</v>
      </c>
      <c r="K21" s="261">
        <f t="shared" si="14"/>
        <v>0</v>
      </c>
      <c r="L21" s="75">
        <v>240000</v>
      </c>
      <c r="M21" s="259">
        <v>0</v>
      </c>
      <c r="N21" s="261">
        <f t="shared" si="1"/>
        <v>240000</v>
      </c>
      <c r="O21" s="75">
        <v>0</v>
      </c>
      <c r="P21" s="259">
        <v>0</v>
      </c>
      <c r="Q21" s="261">
        <f t="shared" si="2"/>
        <v>0</v>
      </c>
      <c r="R21" s="75">
        <v>0</v>
      </c>
      <c r="S21" s="259">
        <v>0</v>
      </c>
      <c r="T21" s="261">
        <f t="shared" si="12"/>
        <v>0</v>
      </c>
      <c r="U21" s="75">
        <v>0</v>
      </c>
      <c r="V21" s="259">
        <v>0</v>
      </c>
      <c r="W21" s="261">
        <f t="shared" si="15"/>
        <v>0</v>
      </c>
      <c r="X21" s="75">
        <v>0</v>
      </c>
      <c r="Y21" s="259">
        <v>0</v>
      </c>
      <c r="Z21" s="261">
        <f t="shared" si="4"/>
        <v>0</v>
      </c>
      <c r="AA21" s="75">
        <v>0</v>
      </c>
      <c r="AB21" s="259">
        <v>0</v>
      </c>
      <c r="AC21" s="261">
        <f t="shared" si="5"/>
        <v>0</v>
      </c>
      <c r="AD21" s="76">
        <f t="shared" si="6"/>
        <v>240000</v>
      </c>
      <c r="AE21" s="76">
        <f t="shared" si="13"/>
        <v>0</v>
      </c>
      <c r="AF21" s="261">
        <f t="shared" si="9"/>
        <v>240000</v>
      </c>
      <c r="AG21" s="76">
        <v>240000</v>
      </c>
      <c r="AH21" s="76">
        <v>0</v>
      </c>
      <c r="AI21" s="261">
        <f t="shared" si="16"/>
        <v>240000</v>
      </c>
      <c r="AJ21" s="76">
        <v>0</v>
      </c>
      <c r="AK21" s="76">
        <v>0</v>
      </c>
      <c r="AL21" s="76"/>
      <c r="AM21" s="261">
        <f t="shared" si="10"/>
        <v>0</v>
      </c>
      <c r="AN21" s="76">
        <v>0</v>
      </c>
      <c r="AO21" s="76">
        <v>0</v>
      </c>
      <c r="AP21" s="261">
        <f t="shared" si="17"/>
        <v>0</v>
      </c>
      <c r="AQ21" s="260">
        <f t="shared" si="11"/>
        <v>0</v>
      </c>
      <c r="AR21" s="47"/>
    </row>
    <row r="22" spans="2:44" ht="28.9" customHeight="1">
      <c r="B22" s="77" t="s">
        <v>272</v>
      </c>
      <c r="C22" s="327" t="s">
        <v>280</v>
      </c>
      <c r="D22" s="74"/>
      <c r="E22" s="330" t="s">
        <v>285</v>
      </c>
      <c r="F22" s="97"/>
      <c r="G22" s="348">
        <v>2026</v>
      </c>
      <c r="H22" s="345">
        <v>2026</v>
      </c>
      <c r="I22" s="760">
        <v>0</v>
      </c>
      <c r="J22" s="75">
        <v>0</v>
      </c>
      <c r="K22" s="261">
        <f t="shared" si="14"/>
        <v>0</v>
      </c>
      <c r="L22" s="75">
        <v>0</v>
      </c>
      <c r="M22" s="259">
        <v>0</v>
      </c>
      <c r="N22" s="261">
        <f t="shared" si="1"/>
        <v>0</v>
      </c>
      <c r="O22" s="76">
        <v>1800000</v>
      </c>
      <c r="P22" s="76">
        <v>0</v>
      </c>
      <c r="Q22" s="261">
        <f t="shared" si="2"/>
        <v>1800000</v>
      </c>
      <c r="R22" s="76">
        <v>0</v>
      </c>
      <c r="S22" s="76">
        <v>0</v>
      </c>
      <c r="T22" s="261">
        <f t="shared" si="12"/>
        <v>0</v>
      </c>
      <c r="U22" s="75">
        <v>0</v>
      </c>
      <c r="V22" s="259">
        <v>0</v>
      </c>
      <c r="W22" s="261">
        <f t="shared" si="15"/>
        <v>0</v>
      </c>
      <c r="X22" s="75">
        <v>0</v>
      </c>
      <c r="Y22" s="259">
        <v>0</v>
      </c>
      <c r="Z22" s="261">
        <f t="shared" si="4"/>
        <v>0</v>
      </c>
      <c r="AA22" s="75">
        <v>0</v>
      </c>
      <c r="AB22" s="259">
        <v>0</v>
      </c>
      <c r="AC22" s="261">
        <f t="shared" si="5"/>
        <v>0</v>
      </c>
      <c r="AD22" s="76">
        <f t="shared" si="6"/>
        <v>1800000</v>
      </c>
      <c r="AE22" s="76">
        <f t="shared" si="13"/>
        <v>0</v>
      </c>
      <c r="AF22" s="261">
        <f t="shared" si="9"/>
        <v>1800000</v>
      </c>
      <c r="AG22" s="76">
        <v>1800000</v>
      </c>
      <c r="AH22" s="76">
        <v>0</v>
      </c>
      <c r="AI22" s="261">
        <f t="shared" si="16"/>
        <v>1800000</v>
      </c>
      <c r="AJ22" s="76">
        <v>0</v>
      </c>
      <c r="AK22" s="76">
        <v>0</v>
      </c>
      <c r="AL22" s="76"/>
      <c r="AM22" s="261">
        <f t="shared" si="10"/>
        <v>0</v>
      </c>
      <c r="AN22" s="76">
        <v>0</v>
      </c>
      <c r="AO22" s="76">
        <v>0</v>
      </c>
      <c r="AP22" s="261">
        <f t="shared" si="17"/>
        <v>0</v>
      </c>
      <c r="AQ22" s="260">
        <f t="shared" si="11"/>
        <v>0</v>
      </c>
      <c r="AR22" s="47"/>
    </row>
    <row r="23" spans="2:44" ht="28.9" customHeight="1">
      <c r="B23" s="77" t="s">
        <v>273</v>
      </c>
      <c r="C23" s="327" t="s">
        <v>281</v>
      </c>
      <c r="D23" s="74"/>
      <c r="E23" s="330" t="s">
        <v>284</v>
      </c>
      <c r="F23" s="97"/>
      <c r="G23" s="348">
        <v>2025</v>
      </c>
      <c r="H23" s="345">
        <v>2025</v>
      </c>
      <c r="I23" s="760">
        <v>0</v>
      </c>
      <c r="J23" s="75">
        <v>0</v>
      </c>
      <c r="K23" s="261">
        <f t="shared" si="14"/>
        <v>0</v>
      </c>
      <c r="L23" s="75">
        <v>3260130</v>
      </c>
      <c r="M23" s="259">
        <v>0</v>
      </c>
      <c r="N23" s="261">
        <f t="shared" si="1"/>
        <v>3260130</v>
      </c>
      <c r="O23" s="76">
        <v>0</v>
      </c>
      <c r="P23" s="76">
        <v>0</v>
      </c>
      <c r="Q23" s="261">
        <f t="shared" si="2"/>
        <v>0</v>
      </c>
      <c r="R23" s="76">
        <v>0</v>
      </c>
      <c r="S23" s="76">
        <v>0</v>
      </c>
      <c r="T23" s="261">
        <f t="shared" si="12"/>
        <v>0</v>
      </c>
      <c r="U23" s="75">
        <v>0</v>
      </c>
      <c r="V23" s="259">
        <v>0</v>
      </c>
      <c r="W23" s="261">
        <f t="shared" si="15"/>
        <v>0</v>
      </c>
      <c r="X23" s="75">
        <v>0</v>
      </c>
      <c r="Y23" s="259">
        <v>0</v>
      </c>
      <c r="Z23" s="261">
        <f t="shared" si="4"/>
        <v>0</v>
      </c>
      <c r="AA23" s="75">
        <v>0</v>
      </c>
      <c r="AB23" s="259">
        <v>0</v>
      </c>
      <c r="AC23" s="261">
        <f t="shared" si="5"/>
        <v>0</v>
      </c>
      <c r="AD23" s="76">
        <f t="shared" si="6"/>
        <v>3260130</v>
      </c>
      <c r="AE23" s="76">
        <f t="shared" si="13"/>
        <v>0</v>
      </c>
      <c r="AF23" s="261">
        <f t="shared" si="9"/>
        <v>3260130</v>
      </c>
      <c r="AG23" s="76">
        <v>3260130</v>
      </c>
      <c r="AH23" s="76">
        <v>0</v>
      </c>
      <c r="AI23" s="261">
        <f t="shared" si="16"/>
        <v>3260130</v>
      </c>
      <c r="AJ23" s="76">
        <v>0</v>
      </c>
      <c r="AK23" s="76">
        <v>0</v>
      </c>
      <c r="AL23" s="76"/>
      <c r="AM23" s="261">
        <f t="shared" si="10"/>
        <v>0</v>
      </c>
      <c r="AN23" s="76">
        <v>0</v>
      </c>
      <c r="AO23" s="76">
        <v>0</v>
      </c>
      <c r="AP23" s="261">
        <f t="shared" si="17"/>
        <v>0</v>
      </c>
      <c r="AQ23" s="260">
        <f t="shared" si="11"/>
        <v>0</v>
      </c>
      <c r="AR23" s="47"/>
    </row>
    <row r="24" spans="2:44" ht="67.150000000000006" customHeight="1" thickBot="1">
      <c r="B24" s="182" t="s">
        <v>89</v>
      </c>
      <c r="C24" s="258" t="s">
        <v>287</v>
      </c>
      <c r="D24" s="184"/>
      <c r="E24" s="210" t="s">
        <v>291</v>
      </c>
      <c r="F24" s="186" t="s">
        <v>286</v>
      </c>
      <c r="G24" s="194">
        <v>2024</v>
      </c>
      <c r="H24" s="185">
        <v>2027</v>
      </c>
      <c r="I24" s="189">
        <f>SUM(I25:I31)</f>
        <v>5433550</v>
      </c>
      <c r="J24" s="189">
        <f>SUM(J25:J31)</f>
        <v>0</v>
      </c>
      <c r="K24" s="190">
        <f>K28</f>
        <v>0</v>
      </c>
      <c r="L24" s="189">
        <f>SUM(L25:L31)</f>
        <v>4700130</v>
      </c>
      <c r="M24" s="189">
        <f>SUM(M25:M31)</f>
        <v>0</v>
      </c>
      <c r="N24" s="190">
        <f>L24+M24</f>
        <v>4700130</v>
      </c>
      <c r="O24" s="189">
        <f>SUM(O25:O31)</f>
        <v>1800000</v>
      </c>
      <c r="P24" s="189">
        <f>SUM(P25:P31)</f>
        <v>0</v>
      </c>
      <c r="Q24" s="190">
        <f>O24+P24</f>
        <v>1800000</v>
      </c>
      <c r="R24" s="189">
        <f>SUM(R25:R31)</f>
        <v>0</v>
      </c>
      <c r="S24" s="189">
        <f>SUM(S25:S31)</f>
        <v>0</v>
      </c>
      <c r="T24" s="189">
        <f t="shared" si="12"/>
        <v>0</v>
      </c>
      <c r="U24" s="189">
        <f>SUM(U25:U31)</f>
        <v>0</v>
      </c>
      <c r="V24" s="189">
        <f>SUM(V25:V31)</f>
        <v>0</v>
      </c>
      <c r="W24" s="190">
        <f>U24+V24</f>
        <v>0</v>
      </c>
      <c r="X24" s="190">
        <f>SUM(X25:X31)</f>
        <v>0</v>
      </c>
      <c r="Y24" s="190">
        <f>SUM(Y25:Y31)</f>
        <v>0</v>
      </c>
      <c r="Z24" s="190">
        <f>X24+Y24</f>
        <v>0</v>
      </c>
      <c r="AA24" s="190">
        <f>SUM(AA25:AA31)</f>
        <v>0</v>
      </c>
      <c r="AB24" s="190">
        <f>SUM(AB25:AB31)</f>
        <v>0</v>
      </c>
      <c r="AC24" s="190">
        <f t="shared" si="5"/>
        <v>0</v>
      </c>
      <c r="AD24" s="190">
        <f t="shared" si="6"/>
        <v>11933680</v>
      </c>
      <c r="AE24" s="190">
        <f>J24+M24+P24+S24+V24+Y24+AB24</f>
        <v>0</v>
      </c>
      <c r="AF24" s="190">
        <f>AD24+AE24</f>
        <v>11933680</v>
      </c>
      <c r="AG24" s="189">
        <f>SUM(AG25:AG31)</f>
        <v>11933680</v>
      </c>
      <c r="AH24" s="189">
        <f>SUM(AH25:AH31)</f>
        <v>0</v>
      </c>
      <c r="AI24" s="190">
        <f>AG24+AH24</f>
        <v>11933680</v>
      </c>
      <c r="AJ24" s="189">
        <f>SUM(AJ25:AJ31)</f>
        <v>0</v>
      </c>
      <c r="AK24" s="189">
        <f>SUM(AK25:AK31)</f>
        <v>0</v>
      </c>
      <c r="AL24" s="190"/>
      <c r="AM24" s="190">
        <f>AJ24+AK24</f>
        <v>0</v>
      </c>
      <c r="AN24" s="189">
        <f>SUM(AN25:AN31)</f>
        <v>0</v>
      </c>
      <c r="AO24" s="189">
        <f>SUM(AO25:AO31)</f>
        <v>0</v>
      </c>
      <c r="AP24" s="190">
        <f>AN24+AO24</f>
        <v>0</v>
      </c>
      <c r="AQ24" s="193">
        <f t="shared" si="11"/>
        <v>0</v>
      </c>
      <c r="AR24" s="47"/>
    </row>
    <row r="25" spans="2:44" ht="67.150000000000006" customHeight="1">
      <c r="B25" s="61" t="s">
        <v>108</v>
      </c>
      <c r="C25" s="355" t="s">
        <v>1617</v>
      </c>
      <c r="D25" s="67"/>
      <c r="E25" s="329" t="s">
        <v>290</v>
      </c>
      <c r="F25" s="1" t="s">
        <v>286</v>
      </c>
      <c r="G25" s="351">
        <v>2024</v>
      </c>
      <c r="H25" s="351">
        <v>2024</v>
      </c>
      <c r="I25" s="7">
        <v>2173420</v>
      </c>
      <c r="J25" s="7">
        <v>0</v>
      </c>
      <c r="K25" s="257">
        <f t="shared" ref="K25:K31" si="18">I25+J25</f>
        <v>2173420</v>
      </c>
      <c r="L25" s="7">
        <v>0</v>
      </c>
      <c r="M25" s="7">
        <v>0</v>
      </c>
      <c r="N25" s="257">
        <f t="shared" ref="N25:N31" si="19">L25+M25</f>
        <v>0</v>
      </c>
      <c r="O25" s="7">
        <v>0</v>
      </c>
      <c r="P25" s="7">
        <v>0</v>
      </c>
      <c r="Q25" s="257">
        <f t="shared" ref="Q25:Q31" si="20">O25+P25</f>
        <v>0</v>
      </c>
      <c r="R25" s="7">
        <v>0</v>
      </c>
      <c r="S25" s="7">
        <v>0</v>
      </c>
      <c r="T25" s="262">
        <f t="shared" si="12"/>
        <v>0</v>
      </c>
      <c r="U25" s="7">
        <v>0</v>
      </c>
      <c r="V25" s="7">
        <v>0</v>
      </c>
      <c r="W25" s="257">
        <f t="shared" ref="W25:W31" si="21">U25+V25</f>
        <v>0</v>
      </c>
      <c r="X25" s="7">
        <v>0</v>
      </c>
      <c r="Y25" s="7">
        <v>0</v>
      </c>
      <c r="Z25" s="257">
        <f t="shared" ref="Z25:Z31" si="22">X25+Y25</f>
        <v>0</v>
      </c>
      <c r="AA25" s="7">
        <v>0</v>
      </c>
      <c r="AB25" s="7">
        <v>0</v>
      </c>
      <c r="AC25" s="257">
        <f t="shared" si="5"/>
        <v>0</v>
      </c>
      <c r="AD25" s="8">
        <f t="shared" si="6"/>
        <v>2173420</v>
      </c>
      <c r="AE25" s="8">
        <f t="shared" ref="AE25:AE31" si="23">J25+M25+P25+S25+V25+Y25+AB25</f>
        <v>0</v>
      </c>
      <c r="AF25" s="257">
        <f t="shared" ref="AF25:AF31" si="24">AD25+AE25</f>
        <v>2173420</v>
      </c>
      <c r="AG25" s="7">
        <v>2173420</v>
      </c>
      <c r="AH25" s="7">
        <v>0</v>
      </c>
      <c r="AI25" s="257">
        <f t="shared" ref="AI25:AI31" si="25">AG25+AH25</f>
        <v>2173420</v>
      </c>
      <c r="AJ25" s="7">
        <v>0</v>
      </c>
      <c r="AK25" s="7">
        <v>0</v>
      </c>
      <c r="AL25" s="8"/>
      <c r="AM25" s="257">
        <f t="shared" ref="AM25:AM31" si="26">AJ25+AK25</f>
        <v>0</v>
      </c>
      <c r="AN25" s="7">
        <v>0</v>
      </c>
      <c r="AO25" s="7">
        <v>0</v>
      </c>
      <c r="AP25" s="257">
        <f t="shared" ref="AP25:AP31" si="27">AN25+AO25</f>
        <v>0</v>
      </c>
      <c r="AQ25" s="148">
        <f t="shared" si="11"/>
        <v>0</v>
      </c>
      <c r="AR25" s="47"/>
    </row>
    <row r="26" spans="2:44" ht="39.6" customHeight="1">
      <c r="B26" s="61" t="s">
        <v>186</v>
      </c>
      <c r="C26" s="356" t="s">
        <v>276</v>
      </c>
      <c r="D26" s="67"/>
      <c r="E26" s="330" t="s">
        <v>284</v>
      </c>
      <c r="F26" s="1"/>
      <c r="G26" s="345">
        <v>2024</v>
      </c>
      <c r="H26" s="345">
        <v>2024</v>
      </c>
      <c r="I26" s="7">
        <v>2173420</v>
      </c>
      <c r="J26" s="7">
        <v>0</v>
      </c>
      <c r="K26" s="257">
        <f t="shared" si="18"/>
        <v>2173420</v>
      </c>
      <c r="L26" s="7">
        <v>0</v>
      </c>
      <c r="M26" s="7">
        <v>0</v>
      </c>
      <c r="N26" s="257">
        <f t="shared" si="19"/>
        <v>0</v>
      </c>
      <c r="O26" s="7">
        <v>0</v>
      </c>
      <c r="P26" s="7">
        <v>0</v>
      </c>
      <c r="Q26" s="257">
        <f t="shared" si="20"/>
        <v>0</v>
      </c>
      <c r="R26" s="7">
        <v>0</v>
      </c>
      <c r="S26" s="7">
        <v>0</v>
      </c>
      <c r="T26" s="262">
        <f t="shared" si="12"/>
        <v>0</v>
      </c>
      <c r="U26" s="7">
        <v>0</v>
      </c>
      <c r="V26" s="7">
        <v>0</v>
      </c>
      <c r="W26" s="257">
        <f t="shared" si="21"/>
        <v>0</v>
      </c>
      <c r="X26" s="7">
        <v>0</v>
      </c>
      <c r="Y26" s="7">
        <v>0</v>
      </c>
      <c r="Z26" s="257">
        <f t="shared" si="22"/>
        <v>0</v>
      </c>
      <c r="AA26" s="7">
        <v>0</v>
      </c>
      <c r="AB26" s="7">
        <v>0</v>
      </c>
      <c r="AC26" s="257">
        <f t="shared" si="5"/>
        <v>0</v>
      </c>
      <c r="AD26" s="8">
        <f t="shared" si="6"/>
        <v>2173420</v>
      </c>
      <c r="AE26" s="8">
        <f t="shared" si="23"/>
        <v>0</v>
      </c>
      <c r="AF26" s="257">
        <f t="shared" si="24"/>
        <v>2173420</v>
      </c>
      <c r="AG26" s="7">
        <v>2173420</v>
      </c>
      <c r="AH26" s="7">
        <v>0</v>
      </c>
      <c r="AI26" s="257">
        <f t="shared" si="25"/>
        <v>2173420</v>
      </c>
      <c r="AJ26" s="7">
        <v>0</v>
      </c>
      <c r="AK26" s="7">
        <v>0</v>
      </c>
      <c r="AL26" s="8"/>
      <c r="AM26" s="257">
        <f t="shared" si="26"/>
        <v>0</v>
      </c>
      <c r="AN26" s="7">
        <v>0</v>
      </c>
      <c r="AO26" s="7">
        <v>0</v>
      </c>
      <c r="AP26" s="257">
        <f t="shared" si="27"/>
        <v>0</v>
      </c>
      <c r="AQ26" s="148">
        <f t="shared" si="11"/>
        <v>0</v>
      </c>
      <c r="AR26" s="47"/>
    </row>
    <row r="27" spans="2:44" ht="28.9" customHeight="1">
      <c r="B27" s="61" t="s">
        <v>187</v>
      </c>
      <c r="C27" s="356" t="s">
        <v>277</v>
      </c>
      <c r="D27" s="67"/>
      <c r="E27" s="330" t="s">
        <v>284</v>
      </c>
      <c r="F27" s="1"/>
      <c r="G27" s="345">
        <v>2024</v>
      </c>
      <c r="H27" s="345">
        <v>2024</v>
      </c>
      <c r="I27" s="7">
        <v>1086710</v>
      </c>
      <c r="J27" s="7">
        <v>0</v>
      </c>
      <c r="K27" s="257">
        <f t="shared" si="18"/>
        <v>1086710</v>
      </c>
      <c r="L27" s="7">
        <v>0</v>
      </c>
      <c r="M27" s="7">
        <v>0</v>
      </c>
      <c r="N27" s="257">
        <f t="shared" si="19"/>
        <v>0</v>
      </c>
      <c r="O27" s="7">
        <v>0</v>
      </c>
      <c r="P27" s="7">
        <v>0</v>
      </c>
      <c r="Q27" s="257">
        <f t="shared" si="20"/>
        <v>0</v>
      </c>
      <c r="R27" s="7">
        <v>0</v>
      </c>
      <c r="S27" s="7">
        <v>0</v>
      </c>
      <c r="T27" s="262">
        <f t="shared" si="12"/>
        <v>0</v>
      </c>
      <c r="U27" s="7">
        <v>0</v>
      </c>
      <c r="V27" s="7">
        <v>0</v>
      </c>
      <c r="W27" s="257">
        <f t="shared" si="21"/>
        <v>0</v>
      </c>
      <c r="X27" s="7">
        <v>0</v>
      </c>
      <c r="Y27" s="7">
        <v>0</v>
      </c>
      <c r="Z27" s="257">
        <f t="shared" si="22"/>
        <v>0</v>
      </c>
      <c r="AA27" s="7">
        <v>0</v>
      </c>
      <c r="AB27" s="7">
        <v>0</v>
      </c>
      <c r="AC27" s="257">
        <f t="shared" si="5"/>
        <v>0</v>
      </c>
      <c r="AD27" s="8">
        <f t="shared" si="6"/>
        <v>1086710</v>
      </c>
      <c r="AE27" s="8">
        <f t="shared" si="23"/>
        <v>0</v>
      </c>
      <c r="AF27" s="257">
        <f t="shared" si="24"/>
        <v>1086710</v>
      </c>
      <c r="AG27" s="7">
        <v>1086710</v>
      </c>
      <c r="AH27" s="7">
        <v>0</v>
      </c>
      <c r="AI27" s="257">
        <f t="shared" si="25"/>
        <v>1086710</v>
      </c>
      <c r="AJ27" s="7">
        <v>0</v>
      </c>
      <c r="AK27" s="7">
        <v>0</v>
      </c>
      <c r="AL27" s="8"/>
      <c r="AM27" s="257">
        <f t="shared" si="26"/>
        <v>0</v>
      </c>
      <c r="AN27" s="7">
        <v>0</v>
      </c>
      <c r="AO27" s="7">
        <v>0</v>
      </c>
      <c r="AP27" s="257">
        <f t="shared" si="27"/>
        <v>0</v>
      </c>
      <c r="AQ27" s="148">
        <f t="shared" si="11"/>
        <v>0</v>
      </c>
      <c r="AR27" s="47"/>
    </row>
    <row r="28" spans="2:44" ht="40.9" customHeight="1">
      <c r="B28" s="61" t="s">
        <v>188</v>
      </c>
      <c r="C28" s="356" t="s">
        <v>278</v>
      </c>
      <c r="D28" s="67"/>
      <c r="E28" s="330" t="s">
        <v>284</v>
      </c>
      <c r="F28" s="1"/>
      <c r="G28" s="345">
        <v>2025</v>
      </c>
      <c r="H28" s="345">
        <v>2025</v>
      </c>
      <c r="I28" s="7">
        <v>0</v>
      </c>
      <c r="J28" s="7">
        <v>0</v>
      </c>
      <c r="K28" s="257">
        <f t="shared" si="18"/>
        <v>0</v>
      </c>
      <c r="L28" s="7">
        <v>1200000</v>
      </c>
      <c r="M28" s="147">
        <v>0</v>
      </c>
      <c r="N28" s="257">
        <f t="shared" si="19"/>
        <v>1200000</v>
      </c>
      <c r="O28" s="8">
        <v>0</v>
      </c>
      <c r="P28" s="64">
        <v>0</v>
      </c>
      <c r="Q28" s="257">
        <f t="shared" si="20"/>
        <v>0</v>
      </c>
      <c r="R28" s="8">
        <v>0</v>
      </c>
      <c r="S28" s="64">
        <v>0</v>
      </c>
      <c r="T28" s="257">
        <f t="shared" si="12"/>
        <v>0</v>
      </c>
      <c r="U28" s="8">
        <v>0</v>
      </c>
      <c r="V28" s="64">
        <v>0</v>
      </c>
      <c r="W28" s="257">
        <f t="shared" si="21"/>
        <v>0</v>
      </c>
      <c r="X28" s="7">
        <v>0</v>
      </c>
      <c r="Y28" s="64">
        <v>0</v>
      </c>
      <c r="Z28" s="257">
        <f t="shared" si="22"/>
        <v>0</v>
      </c>
      <c r="AA28" s="64">
        <v>0</v>
      </c>
      <c r="AB28" s="64">
        <v>0</v>
      </c>
      <c r="AC28" s="257">
        <f t="shared" si="5"/>
        <v>0</v>
      </c>
      <c r="AD28" s="8">
        <f t="shared" si="6"/>
        <v>1200000</v>
      </c>
      <c r="AE28" s="8">
        <f t="shared" si="23"/>
        <v>0</v>
      </c>
      <c r="AF28" s="257">
        <f t="shared" si="24"/>
        <v>1200000</v>
      </c>
      <c r="AG28" s="8">
        <v>1200000</v>
      </c>
      <c r="AH28" s="64">
        <v>0</v>
      </c>
      <c r="AI28" s="257">
        <f t="shared" si="25"/>
        <v>1200000</v>
      </c>
      <c r="AJ28" s="8">
        <v>0</v>
      </c>
      <c r="AK28" s="8">
        <v>0</v>
      </c>
      <c r="AL28" s="64"/>
      <c r="AM28" s="257">
        <f t="shared" si="26"/>
        <v>0</v>
      </c>
      <c r="AN28" s="8">
        <v>0</v>
      </c>
      <c r="AO28" s="64">
        <v>0</v>
      </c>
      <c r="AP28" s="257">
        <f t="shared" si="27"/>
        <v>0</v>
      </c>
      <c r="AQ28" s="69">
        <f t="shared" si="11"/>
        <v>0</v>
      </c>
      <c r="AR28" s="47"/>
    </row>
    <row r="29" spans="2:44" ht="42" customHeight="1">
      <c r="B29" s="61" t="s">
        <v>189</v>
      </c>
      <c r="C29" s="356" t="s">
        <v>279</v>
      </c>
      <c r="D29" s="67"/>
      <c r="E29" s="330" t="s">
        <v>284</v>
      </c>
      <c r="F29" s="1"/>
      <c r="G29" s="345">
        <v>2025</v>
      </c>
      <c r="H29" s="345">
        <v>2025</v>
      </c>
      <c r="I29" s="7">
        <v>0</v>
      </c>
      <c r="J29" s="7">
        <v>0</v>
      </c>
      <c r="K29" s="257">
        <f t="shared" si="18"/>
        <v>0</v>
      </c>
      <c r="L29" s="7">
        <v>240000</v>
      </c>
      <c r="M29" s="147">
        <v>0</v>
      </c>
      <c r="N29" s="257">
        <f t="shared" si="19"/>
        <v>240000</v>
      </c>
      <c r="O29" s="8">
        <v>0</v>
      </c>
      <c r="P29" s="64">
        <v>0</v>
      </c>
      <c r="Q29" s="257">
        <f t="shared" si="20"/>
        <v>0</v>
      </c>
      <c r="R29" s="8">
        <v>0</v>
      </c>
      <c r="S29" s="64">
        <v>0</v>
      </c>
      <c r="T29" s="257">
        <f t="shared" si="12"/>
        <v>0</v>
      </c>
      <c r="U29" s="8">
        <v>0</v>
      </c>
      <c r="V29" s="64">
        <v>0</v>
      </c>
      <c r="W29" s="257">
        <f t="shared" si="21"/>
        <v>0</v>
      </c>
      <c r="X29" s="7">
        <v>0</v>
      </c>
      <c r="Y29" s="64">
        <v>0</v>
      </c>
      <c r="Z29" s="257">
        <f t="shared" si="22"/>
        <v>0</v>
      </c>
      <c r="AA29" s="64">
        <v>0</v>
      </c>
      <c r="AB29" s="64">
        <v>0</v>
      </c>
      <c r="AC29" s="257">
        <f t="shared" si="5"/>
        <v>0</v>
      </c>
      <c r="AD29" s="8">
        <f t="shared" si="6"/>
        <v>240000</v>
      </c>
      <c r="AE29" s="8">
        <f t="shared" si="23"/>
        <v>0</v>
      </c>
      <c r="AF29" s="257">
        <f t="shared" si="24"/>
        <v>240000</v>
      </c>
      <c r="AG29" s="8">
        <v>240000</v>
      </c>
      <c r="AH29" s="64">
        <v>0</v>
      </c>
      <c r="AI29" s="257">
        <f t="shared" si="25"/>
        <v>240000</v>
      </c>
      <c r="AJ29" s="8">
        <v>0</v>
      </c>
      <c r="AK29" s="8">
        <v>0</v>
      </c>
      <c r="AL29" s="64"/>
      <c r="AM29" s="257">
        <f t="shared" si="26"/>
        <v>0</v>
      </c>
      <c r="AN29" s="8">
        <v>0</v>
      </c>
      <c r="AO29" s="64">
        <v>0</v>
      </c>
      <c r="AP29" s="257">
        <f t="shared" si="27"/>
        <v>0</v>
      </c>
      <c r="AQ29" s="69">
        <f t="shared" si="11"/>
        <v>0</v>
      </c>
      <c r="AR29" s="47"/>
    </row>
    <row r="30" spans="2:44" ht="35.450000000000003" customHeight="1">
      <c r="B30" s="61" t="s">
        <v>288</v>
      </c>
      <c r="C30" s="356" t="s">
        <v>280</v>
      </c>
      <c r="D30" s="67"/>
      <c r="E30" s="330" t="s">
        <v>285</v>
      </c>
      <c r="F30" s="1"/>
      <c r="G30" s="345">
        <v>2026</v>
      </c>
      <c r="H30" s="345">
        <v>2026</v>
      </c>
      <c r="I30" s="7">
        <v>0</v>
      </c>
      <c r="J30" s="7">
        <v>0</v>
      </c>
      <c r="K30" s="257">
        <f t="shared" si="18"/>
        <v>0</v>
      </c>
      <c r="L30" s="7">
        <v>0</v>
      </c>
      <c r="M30" s="147">
        <v>0</v>
      </c>
      <c r="N30" s="257">
        <f t="shared" si="19"/>
        <v>0</v>
      </c>
      <c r="O30" s="8">
        <v>1800000</v>
      </c>
      <c r="P30" s="64">
        <v>0</v>
      </c>
      <c r="Q30" s="257">
        <f t="shared" si="20"/>
        <v>1800000</v>
      </c>
      <c r="R30" s="8">
        <v>0</v>
      </c>
      <c r="S30" s="64">
        <v>0</v>
      </c>
      <c r="T30" s="257">
        <f t="shared" si="12"/>
        <v>0</v>
      </c>
      <c r="U30" s="8">
        <v>0</v>
      </c>
      <c r="V30" s="64">
        <v>0</v>
      </c>
      <c r="W30" s="257">
        <f t="shared" si="21"/>
        <v>0</v>
      </c>
      <c r="X30" s="7">
        <v>0</v>
      </c>
      <c r="Y30" s="64">
        <v>0</v>
      </c>
      <c r="Z30" s="257">
        <f t="shared" si="22"/>
        <v>0</v>
      </c>
      <c r="AA30" s="64">
        <v>0</v>
      </c>
      <c r="AB30" s="64">
        <v>0</v>
      </c>
      <c r="AC30" s="257">
        <f t="shared" si="5"/>
        <v>0</v>
      </c>
      <c r="AD30" s="8">
        <f t="shared" si="6"/>
        <v>1800000</v>
      </c>
      <c r="AE30" s="8">
        <f t="shared" si="23"/>
        <v>0</v>
      </c>
      <c r="AF30" s="257">
        <f t="shared" si="24"/>
        <v>1800000</v>
      </c>
      <c r="AG30" s="8">
        <v>1800000</v>
      </c>
      <c r="AH30" s="64">
        <v>0</v>
      </c>
      <c r="AI30" s="257">
        <f t="shared" si="25"/>
        <v>1800000</v>
      </c>
      <c r="AJ30" s="8">
        <v>0</v>
      </c>
      <c r="AK30" s="8">
        <v>0</v>
      </c>
      <c r="AL30" s="64"/>
      <c r="AM30" s="257">
        <f t="shared" si="26"/>
        <v>0</v>
      </c>
      <c r="AN30" s="8">
        <v>0</v>
      </c>
      <c r="AO30" s="64"/>
      <c r="AP30" s="257">
        <f t="shared" si="27"/>
        <v>0</v>
      </c>
      <c r="AQ30" s="69">
        <f t="shared" si="11"/>
        <v>0</v>
      </c>
      <c r="AR30" s="47"/>
    </row>
    <row r="31" spans="2:44" ht="40.9" customHeight="1">
      <c r="B31" s="61" t="s">
        <v>289</v>
      </c>
      <c r="C31" s="356" t="s">
        <v>281</v>
      </c>
      <c r="D31" s="67"/>
      <c r="E31" s="330" t="s">
        <v>284</v>
      </c>
      <c r="F31" s="1"/>
      <c r="G31" s="345">
        <v>2025</v>
      </c>
      <c r="H31" s="345">
        <v>2025</v>
      </c>
      <c r="I31" s="7">
        <v>0</v>
      </c>
      <c r="J31" s="7">
        <v>0</v>
      </c>
      <c r="K31" s="257">
        <f t="shared" si="18"/>
        <v>0</v>
      </c>
      <c r="L31" s="7">
        <v>3260130</v>
      </c>
      <c r="M31" s="147">
        <v>0</v>
      </c>
      <c r="N31" s="257">
        <f t="shared" si="19"/>
        <v>3260130</v>
      </c>
      <c r="O31" s="8">
        <v>0</v>
      </c>
      <c r="P31" s="64">
        <v>0</v>
      </c>
      <c r="Q31" s="257">
        <f t="shared" si="20"/>
        <v>0</v>
      </c>
      <c r="R31" s="8">
        <v>0</v>
      </c>
      <c r="S31" s="64">
        <v>0</v>
      </c>
      <c r="T31" s="257">
        <f t="shared" si="12"/>
        <v>0</v>
      </c>
      <c r="U31" s="8">
        <v>0</v>
      </c>
      <c r="V31" s="64">
        <v>0</v>
      </c>
      <c r="W31" s="257">
        <f t="shared" si="21"/>
        <v>0</v>
      </c>
      <c r="X31" s="7">
        <v>0</v>
      </c>
      <c r="Y31" s="64">
        <v>0</v>
      </c>
      <c r="Z31" s="257">
        <f t="shared" si="22"/>
        <v>0</v>
      </c>
      <c r="AA31" s="64">
        <v>0</v>
      </c>
      <c r="AB31" s="64">
        <v>0</v>
      </c>
      <c r="AC31" s="257">
        <f t="shared" si="5"/>
        <v>0</v>
      </c>
      <c r="AD31" s="8">
        <f t="shared" si="6"/>
        <v>3260130</v>
      </c>
      <c r="AE31" s="8">
        <f t="shared" si="23"/>
        <v>0</v>
      </c>
      <c r="AF31" s="257">
        <f t="shared" si="24"/>
        <v>3260130</v>
      </c>
      <c r="AG31" s="8">
        <v>3260130</v>
      </c>
      <c r="AH31" s="64">
        <v>0</v>
      </c>
      <c r="AI31" s="257">
        <f t="shared" si="25"/>
        <v>3260130</v>
      </c>
      <c r="AJ31" s="8">
        <v>0</v>
      </c>
      <c r="AK31" s="8">
        <v>0</v>
      </c>
      <c r="AL31" s="64"/>
      <c r="AM31" s="257">
        <f t="shared" si="26"/>
        <v>0</v>
      </c>
      <c r="AN31" s="8">
        <v>0</v>
      </c>
      <c r="AO31" s="64"/>
      <c r="AP31" s="257">
        <f t="shared" si="27"/>
        <v>0</v>
      </c>
      <c r="AQ31" s="69">
        <f t="shared" si="11"/>
        <v>0</v>
      </c>
      <c r="AR31" s="47"/>
    </row>
    <row r="32" spans="2:44" ht="67.150000000000006" customHeight="1" thickBot="1">
      <c r="B32" s="182" t="s">
        <v>90</v>
      </c>
      <c r="C32" s="263" t="s">
        <v>292</v>
      </c>
      <c r="D32" s="185"/>
      <c r="E32" s="210" t="s">
        <v>291</v>
      </c>
      <c r="F32" s="186" t="s">
        <v>286</v>
      </c>
      <c r="G32" s="771">
        <v>2026</v>
      </c>
      <c r="H32" s="350">
        <v>2030</v>
      </c>
      <c r="I32" s="189">
        <f>SUM(I33:I39)</f>
        <v>0</v>
      </c>
      <c r="J32" s="189">
        <f>SUM(J33:J39)</f>
        <v>0</v>
      </c>
      <c r="K32" s="190">
        <f>I32+J32</f>
        <v>0</v>
      </c>
      <c r="L32" s="189">
        <f>SUM(L33:L39)</f>
        <v>3260130</v>
      </c>
      <c r="M32" s="189">
        <f>SUM(M33:M39)</f>
        <v>0</v>
      </c>
      <c r="N32" s="190">
        <f>L32+M32</f>
        <v>3260130</v>
      </c>
      <c r="O32" s="189">
        <f>SUM(O33:O39)</f>
        <v>7606970</v>
      </c>
      <c r="P32" s="189">
        <f>SUM(P33:P39)</f>
        <v>0</v>
      </c>
      <c r="Q32" s="190">
        <f>O32+P32</f>
        <v>7606970</v>
      </c>
      <c r="R32" s="189">
        <f>SUM(R33:R39)</f>
        <v>1440000</v>
      </c>
      <c r="S32" s="189">
        <f>SUM(S33:S39)</f>
        <v>0</v>
      </c>
      <c r="T32" s="190">
        <f>R32+S32</f>
        <v>1440000</v>
      </c>
      <c r="U32" s="189">
        <f>SUM(U33:U39)</f>
        <v>0</v>
      </c>
      <c r="V32" s="189">
        <f>SUM(V33:V39)</f>
        <v>0</v>
      </c>
      <c r="W32" s="190">
        <f>U32+V32</f>
        <v>0</v>
      </c>
      <c r="X32" s="190">
        <f>SUM(X33:X39)</f>
        <v>1200000</v>
      </c>
      <c r="Y32" s="190">
        <f>SUM(Y33:Y39)</f>
        <v>0</v>
      </c>
      <c r="Z32" s="190">
        <f>X32+Y32</f>
        <v>1200000</v>
      </c>
      <c r="AA32" s="190">
        <f>SUM(AA33:AA39)</f>
        <v>0</v>
      </c>
      <c r="AB32" s="190">
        <f>SUM(AB33:AB39)</f>
        <v>0</v>
      </c>
      <c r="AC32" s="190">
        <f t="shared" si="5"/>
        <v>0</v>
      </c>
      <c r="AD32" s="190">
        <f t="shared" si="6"/>
        <v>13507100</v>
      </c>
      <c r="AE32" s="190">
        <f>J32+M32+P32+S32+V32+Y32+AB32</f>
        <v>0</v>
      </c>
      <c r="AF32" s="190">
        <f>AD32+AE32</f>
        <v>13507100</v>
      </c>
      <c r="AG32" s="189">
        <f>SUM(AG33:AG39)</f>
        <v>10867100</v>
      </c>
      <c r="AH32" s="189">
        <f>SUM(AH33:AH39)</f>
        <v>0</v>
      </c>
      <c r="AI32" s="190">
        <f>AG32+AH32</f>
        <v>10867100</v>
      </c>
      <c r="AJ32" s="189">
        <f>SUM(AJ33:AJ39)</f>
        <v>0</v>
      </c>
      <c r="AK32" s="189">
        <f>SUM(AK33:AK39)</f>
        <v>0</v>
      </c>
      <c r="AL32" s="190"/>
      <c r="AM32" s="190">
        <f>AJ32+AK32</f>
        <v>0</v>
      </c>
      <c r="AN32" s="189">
        <f>SUM(AN33:AN39)</f>
        <v>2640000</v>
      </c>
      <c r="AO32" s="189">
        <f>SUM(AO33:AO39)</f>
        <v>0</v>
      </c>
      <c r="AP32" s="190">
        <f>AN32+AO32</f>
        <v>2640000</v>
      </c>
      <c r="AQ32" s="193">
        <f>SUM(AP32+AM32+AI32)-AF32</f>
        <v>0</v>
      </c>
      <c r="AR32" s="47"/>
    </row>
    <row r="33" spans="2:44" ht="67.150000000000006" customHeight="1">
      <c r="B33" s="61" t="s">
        <v>109</v>
      </c>
      <c r="C33" s="352" t="s">
        <v>1615</v>
      </c>
      <c r="D33" s="67"/>
      <c r="E33" s="329" t="s">
        <v>290</v>
      </c>
      <c r="F33" s="1" t="s">
        <v>286</v>
      </c>
      <c r="G33" s="351">
        <v>2026</v>
      </c>
      <c r="H33" s="351">
        <v>2026</v>
      </c>
      <c r="I33" s="7">
        <v>0</v>
      </c>
      <c r="J33" s="7">
        <v>0</v>
      </c>
      <c r="K33" s="257">
        <f>SUM(I33:J33)</f>
        <v>0</v>
      </c>
      <c r="L33" s="8">
        <v>0</v>
      </c>
      <c r="M33" s="147">
        <v>0</v>
      </c>
      <c r="N33" s="257">
        <f>SUM(L33:M33)</f>
        <v>0</v>
      </c>
      <c r="O33" s="8">
        <v>3260130</v>
      </c>
      <c r="P33" s="64">
        <v>0</v>
      </c>
      <c r="Q33" s="257">
        <f>SUM(O33:P33)</f>
        <v>3260130</v>
      </c>
      <c r="R33" s="8">
        <v>0</v>
      </c>
      <c r="S33" s="64">
        <v>0</v>
      </c>
      <c r="T33" s="257">
        <f>SUM(R33:S33)</f>
        <v>0</v>
      </c>
      <c r="U33" s="8">
        <v>0</v>
      </c>
      <c r="V33" s="64">
        <v>0</v>
      </c>
      <c r="W33" s="257">
        <f>SUM(U33:V33)</f>
        <v>0</v>
      </c>
      <c r="X33" s="64">
        <v>0</v>
      </c>
      <c r="Y33" s="64">
        <v>0</v>
      </c>
      <c r="Z33" s="257">
        <f t="shared" ref="Z33:Z39" si="28">X33+Y33</f>
        <v>0</v>
      </c>
      <c r="AA33" s="64">
        <v>0</v>
      </c>
      <c r="AB33" s="64">
        <v>0</v>
      </c>
      <c r="AC33" s="257">
        <f t="shared" si="5"/>
        <v>0</v>
      </c>
      <c r="AD33" s="8">
        <f t="shared" si="6"/>
        <v>3260130</v>
      </c>
      <c r="AE33" s="8">
        <f t="shared" ref="AE33:AE39" si="29">J33+M33+P33+S33+V33+Y33+AB33</f>
        <v>0</v>
      </c>
      <c r="AF33" s="257">
        <f>SUM(AD33:AE33)</f>
        <v>3260130</v>
      </c>
      <c r="AG33" s="8">
        <v>3260130</v>
      </c>
      <c r="AH33" s="64">
        <v>0</v>
      </c>
      <c r="AI33" s="257">
        <f>SUM(AG33:AH33)</f>
        <v>3260130</v>
      </c>
      <c r="AJ33" s="8">
        <v>0</v>
      </c>
      <c r="AK33" s="8">
        <v>0</v>
      </c>
      <c r="AL33" s="64"/>
      <c r="AM33" s="257">
        <f t="shared" si="10"/>
        <v>0</v>
      </c>
      <c r="AN33" s="8">
        <v>0</v>
      </c>
      <c r="AO33" s="64">
        <v>0</v>
      </c>
      <c r="AP33" s="257">
        <f>SUM(AN33:AO33)</f>
        <v>0</v>
      </c>
      <c r="AQ33" s="69">
        <f t="shared" si="11"/>
        <v>0</v>
      </c>
      <c r="AR33" s="47"/>
    </row>
    <row r="34" spans="2:44" ht="44.45" customHeight="1">
      <c r="B34" s="61" t="s">
        <v>110</v>
      </c>
      <c r="C34" s="353" t="s">
        <v>276</v>
      </c>
      <c r="D34" s="67"/>
      <c r="E34" s="330" t="s">
        <v>284</v>
      </c>
      <c r="F34" s="1"/>
      <c r="G34" s="345">
        <v>2026</v>
      </c>
      <c r="H34" s="345">
        <v>2026</v>
      </c>
      <c r="I34" s="7">
        <v>0</v>
      </c>
      <c r="J34" s="7">
        <v>0</v>
      </c>
      <c r="K34" s="257">
        <f>SUM(I34:J34)</f>
        <v>0</v>
      </c>
      <c r="L34" s="7">
        <v>0</v>
      </c>
      <c r="M34" s="147">
        <v>0</v>
      </c>
      <c r="N34" s="257">
        <f>SUM(L34:M34)</f>
        <v>0</v>
      </c>
      <c r="O34" s="7">
        <v>2173420</v>
      </c>
      <c r="P34" s="64">
        <v>0</v>
      </c>
      <c r="Q34" s="257">
        <f>SUM(O34:P34)</f>
        <v>2173420</v>
      </c>
      <c r="R34" s="8">
        <v>0</v>
      </c>
      <c r="S34" s="64">
        <v>0</v>
      </c>
      <c r="T34" s="257">
        <f>SUM(R34:S34)</f>
        <v>0</v>
      </c>
      <c r="U34" s="8">
        <v>0</v>
      </c>
      <c r="V34" s="64">
        <v>0</v>
      </c>
      <c r="W34" s="257">
        <f>SUM(U34:V34)</f>
        <v>0</v>
      </c>
      <c r="X34" s="64">
        <v>0</v>
      </c>
      <c r="Y34" s="64">
        <v>0</v>
      </c>
      <c r="Z34" s="257">
        <f t="shared" si="28"/>
        <v>0</v>
      </c>
      <c r="AA34" s="64">
        <v>0</v>
      </c>
      <c r="AB34" s="64">
        <v>0</v>
      </c>
      <c r="AC34" s="257">
        <f t="shared" si="5"/>
        <v>0</v>
      </c>
      <c r="AD34" s="8">
        <f t="shared" si="6"/>
        <v>2173420</v>
      </c>
      <c r="AE34" s="8">
        <f t="shared" si="29"/>
        <v>0</v>
      </c>
      <c r="AF34" s="257">
        <f>SUM(AD34:AE34)</f>
        <v>2173420</v>
      </c>
      <c r="AG34" s="8">
        <v>2173420</v>
      </c>
      <c r="AH34" s="64">
        <v>0</v>
      </c>
      <c r="AI34" s="257">
        <f>SUM(AG34:AH34)</f>
        <v>2173420</v>
      </c>
      <c r="AJ34" s="8">
        <v>0</v>
      </c>
      <c r="AK34" s="8">
        <v>0</v>
      </c>
      <c r="AL34" s="64"/>
      <c r="AM34" s="257">
        <f t="shared" si="10"/>
        <v>0</v>
      </c>
      <c r="AN34" s="8">
        <v>0</v>
      </c>
      <c r="AO34" s="64">
        <v>0</v>
      </c>
      <c r="AP34" s="257">
        <f>SUM(AN34:AO34)</f>
        <v>0</v>
      </c>
      <c r="AQ34" s="69">
        <f t="shared" si="11"/>
        <v>0</v>
      </c>
      <c r="AR34" s="47"/>
    </row>
    <row r="35" spans="2:44" ht="31.9" customHeight="1">
      <c r="B35" s="35" t="s">
        <v>297</v>
      </c>
      <c r="C35" s="353" t="s">
        <v>277</v>
      </c>
      <c r="D35" s="67"/>
      <c r="E35" s="330" t="s">
        <v>284</v>
      </c>
      <c r="F35" s="1"/>
      <c r="G35" s="345">
        <v>2026</v>
      </c>
      <c r="H35" s="345">
        <v>2026</v>
      </c>
      <c r="I35" s="7">
        <v>0</v>
      </c>
      <c r="J35" s="7">
        <v>0</v>
      </c>
      <c r="K35" s="257">
        <f t="shared" ref="K35:K39" si="30">SUM(I35:J35)</f>
        <v>0</v>
      </c>
      <c r="L35" s="7">
        <v>0</v>
      </c>
      <c r="M35" s="147">
        <v>0</v>
      </c>
      <c r="N35" s="257">
        <f t="shared" ref="N35:N39" si="31">SUM(L35:M35)</f>
        <v>0</v>
      </c>
      <c r="O35" s="7">
        <v>2173420</v>
      </c>
      <c r="P35" s="64">
        <v>0</v>
      </c>
      <c r="Q35" s="257">
        <f t="shared" ref="Q35:Q39" si="32">SUM(O35:P35)</f>
        <v>2173420</v>
      </c>
      <c r="R35" s="8">
        <v>0</v>
      </c>
      <c r="S35" s="64">
        <v>0</v>
      </c>
      <c r="T35" s="257">
        <f t="shared" ref="T35:T39" si="33">SUM(R35:S35)</f>
        <v>0</v>
      </c>
      <c r="U35" s="8">
        <v>0</v>
      </c>
      <c r="V35" s="64">
        <v>0</v>
      </c>
      <c r="W35" s="257">
        <f t="shared" ref="W35:W39" si="34">SUM(U35:V35)</f>
        <v>0</v>
      </c>
      <c r="X35" s="64">
        <v>0</v>
      </c>
      <c r="Y35" s="64">
        <v>0</v>
      </c>
      <c r="Z35" s="257">
        <f t="shared" si="28"/>
        <v>0</v>
      </c>
      <c r="AA35" s="64">
        <v>0</v>
      </c>
      <c r="AB35" s="64">
        <v>0</v>
      </c>
      <c r="AC35" s="257">
        <f t="shared" si="5"/>
        <v>0</v>
      </c>
      <c r="AD35" s="8">
        <f t="shared" si="6"/>
        <v>2173420</v>
      </c>
      <c r="AE35" s="8">
        <f t="shared" si="29"/>
        <v>0</v>
      </c>
      <c r="AF35" s="257">
        <f t="shared" ref="AF35:AF39" si="35">SUM(AD35:AE35)</f>
        <v>2173420</v>
      </c>
      <c r="AG35" s="8">
        <v>2173420</v>
      </c>
      <c r="AH35" s="64">
        <v>0</v>
      </c>
      <c r="AI35" s="257">
        <f t="shared" ref="AI35:AI39" si="36">SUM(AG35:AH35)</f>
        <v>2173420</v>
      </c>
      <c r="AJ35" s="8">
        <v>0</v>
      </c>
      <c r="AK35" s="8">
        <v>0</v>
      </c>
      <c r="AL35" s="64"/>
      <c r="AM35" s="257">
        <f t="shared" si="10"/>
        <v>0</v>
      </c>
      <c r="AN35" s="8">
        <v>0</v>
      </c>
      <c r="AO35" s="64">
        <v>0</v>
      </c>
      <c r="AP35" s="257">
        <f t="shared" ref="AP35:AP39" si="37">SUM(AN35:AO35)</f>
        <v>0</v>
      </c>
      <c r="AQ35" s="170">
        <f t="shared" si="11"/>
        <v>0</v>
      </c>
      <c r="AR35" s="47"/>
    </row>
    <row r="36" spans="2:44" ht="31.9" customHeight="1">
      <c r="B36" s="35" t="s">
        <v>296</v>
      </c>
      <c r="C36" s="353" t="s">
        <v>278</v>
      </c>
      <c r="D36" s="67"/>
      <c r="E36" s="330" t="s">
        <v>284</v>
      </c>
      <c r="F36" s="1"/>
      <c r="G36" s="345">
        <v>2027</v>
      </c>
      <c r="H36" s="345">
        <v>2027</v>
      </c>
      <c r="I36" s="7">
        <v>0</v>
      </c>
      <c r="J36" s="7">
        <v>0</v>
      </c>
      <c r="K36" s="257">
        <f t="shared" si="30"/>
        <v>0</v>
      </c>
      <c r="L36" s="7">
        <v>0</v>
      </c>
      <c r="M36" s="7">
        <v>0</v>
      </c>
      <c r="N36" s="257">
        <f t="shared" si="31"/>
        <v>0</v>
      </c>
      <c r="O36" s="7">
        <v>0</v>
      </c>
      <c r="P36" s="7">
        <v>0</v>
      </c>
      <c r="Q36" s="257">
        <f t="shared" si="32"/>
        <v>0</v>
      </c>
      <c r="R36" s="8">
        <v>1200000</v>
      </c>
      <c r="S36" s="64">
        <v>0</v>
      </c>
      <c r="T36" s="257">
        <f t="shared" si="33"/>
        <v>1200000</v>
      </c>
      <c r="U36" s="8">
        <v>0</v>
      </c>
      <c r="V36" s="64">
        <v>0</v>
      </c>
      <c r="W36" s="257">
        <f t="shared" si="34"/>
        <v>0</v>
      </c>
      <c r="X36" s="64">
        <v>0</v>
      </c>
      <c r="Y36" s="64">
        <v>0</v>
      </c>
      <c r="Z36" s="257">
        <f t="shared" si="28"/>
        <v>0</v>
      </c>
      <c r="AA36" s="64">
        <v>0</v>
      </c>
      <c r="AB36" s="64">
        <v>0</v>
      </c>
      <c r="AC36" s="257">
        <f t="shared" si="5"/>
        <v>0</v>
      </c>
      <c r="AD36" s="8">
        <f t="shared" si="6"/>
        <v>1200000</v>
      </c>
      <c r="AE36" s="8">
        <f t="shared" si="29"/>
        <v>0</v>
      </c>
      <c r="AF36" s="257">
        <f t="shared" si="35"/>
        <v>1200000</v>
      </c>
      <c r="AG36" s="8">
        <v>0</v>
      </c>
      <c r="AH36" s="64">
        <v>0</v>
      </c>
      <c r="AI36" s="257">
        <f t="shared" si="36"/>
        <v>0</v>
      </c>
      <c r="AJ36" s="8">
        <v>0</v>
      </c>
      <c r="AK36" s="8">
        <v>0</v>
      </c>
      <c r="AL36" s="64"/>
      <c r="AM36" s="257">
        <f t="shared" si="10"/>
        <v>0</v>
      </c>
      <c r="AN36" s="8">
        <v>1200000</v>
      </c>
      <c r="AO36" s="64">
        <v>0</v>
      </c>
      <c r="AP36" s="257">
        <f t="shared" si="37"/>
        <v>1200000</v>
      </c>
      <c r="AQ36" s="170">
        <f t="shared" si="11"/>
        <v>0</v>
      </c>
      <c r="AR36" s="47"/>
    </row>
    <row r="37" spans="2:44" ht="36.6" customHeight="1">
      <c r="B37" s="35" t="s">
        <v>295</v>
      </c>
      <c r="C37" s="353" t="s">
        <v>279</v>
      </c>
      <c r="D37" s="67"/>
      <c r="E37" s="330" t="s">
        <v>284</v>
      </c>
      <c r="F37" s="1"/>
      <c r="G37" s="345">
        <v>2027</v>
      </c>
      <c r="H37" s="345">
        <v>2027</v>
      </c>
      <c r="I37" s="7">
        <v>0</v>
      </c>
      <c r="J37" s="7">
        <v>0</v>
      </c>
      <c r="K37" s="257">
        <f t="shared" si="30"/>
        <v>0</v>
      </c>
      <c r="L37" s="7">
        <v>0</v>
      </c>
      <c r="M37" s="7">
        <v>0</v>
      </c>
      <c r="N37" s="257">
        <f t="shared" si="31"/>
        <v>0</v>
      </c>
      <c r="O37" s="7">
        <v>0</v>
      </c>
      <c r="P37" s="7">
        <v>0</v>
      </c>
      <c r="Q37" s="257">
        <f t="shared" si="32"/>
        <v>0</v>
      </c>
      <c r="R37" s="8">
        <v>240000</v>
      </c>
      <c r="S37" s="64">
        <v>0</v>
      </c>
      <c r="T37" s="257">
        <f t="shared" si="33"/>
        <v>240000</v>
      </c>
      <c r="U37" s="8">
        <v>0</v>
      </c>
      <c r="V37" s="64">
        <v>0</v>
      </c>
      <c r="W37" s="257">
        <f t="shared" si="34"/>
        <v>0</v>
      </c>
      <c r="X37" s="64">
        <v>0</v>
      </c>
      <c r="Y37" s="64">
        <v>0</v>
      </c>
      <c r="Z37" s="257">
        <f t="shared" si="28"/>
        <v>0</v>
      </c>
      <c r="AA37" s="64">
        <v>0</v>
      </c>
      <c r="AB37" s="64">
        <v>0</v>
      </c>
      <c r="AC37" s="257">
        <f t="shared" si="5"/>
        <v>0</v>
      </c>
      <c r="AD37" s="8">
        <f t="shared" si="6"/>
        <v>240000</v>
      </c>
      <c r="AE37" s="8">
        <f t="shared" si="29"/>
        <v>0</v>
      </c>
      <c r="AF37" s="257">
        <f t="shared" si="35"/>
        <v>240000</v>
      </c>
      <c r="AG37" s="8">
        <v>0</v>
      </c>
      <c r="AH37" s="64">
        <v>0</v>
      </c>
      <c r="AI37" s="257">
        <f t="shared" si="36"/>
        <v>0</v>
      </c>
      <c r="AJ37" s="8">
        <v>0</v>
      </c>
      <c r="AK37" s="8">
        <v>0</v>
      </c>
      <c r="AL37" s="64"/>
      <c r="AM37" s="257">
        <f t="shared" si="10"/>
        <v>0</v>
      </c>
      <c r="AN37" s="8">
        <v>240000</v>
      </c>
      <c r="AO37" s="64">
        <v>0</v>
      </c>
      <c r="AP37" s="257">
        <f t="shared" si="37"/>
        <v>240000</v>
      </c>
      <c r="AQ37" s="170">
        <f t="shared" si="11"/>
        <v>0</v>
      </c>
      <c r="AR37" s="47"/>
    </row>
    <row r="38" spans="2:44" ht="38.450000000000003" customHeight="1">
      <c r="B38" s="35" t="s">
        <v>294</v>
      </c>
      <c r="C38" s="353" t="s">
        <v>280</v>
      </c>
      <c r="D38" s="67"/>
      <c r="E38" s="330" t="s">
        <v>285</v>
      </c>
      <c r="F38" s="1"/>
      <c r="G38" s="345">
        <v>2029</v>
      </c>
      <c r="H38" s="345">
        <v>2029</v>
      </c>
      <c r="I38" s="7">
        <v>0</v>
      </c>
      <c r="J38" s="7">
        <v>0</v>
      </c>
      <c r="K38" s="257">
        <f t="shared" si="30"/>
        <v>0</v>
      </c>
      <c r="L38" s="7">
        <v>0</v>
      </c>
      <c r="M38" s="7">
        <v>0</v>
      </c>
      <c r="N38" s="257">
        <f t="shared" si="31"/>
        <v>0</v>
      </c>
      <c r="O38" s="7">
        <v>0</v>
      </c>
      <c r="P38" s="7">
        <v>0</v>
      </c>
      <c r="Q38" s="257">
        <f t="shared" si="32"/>
        <v>0</v>
      </c>
      <c r="R38" s="7">
        <v>0</v>
      </c>
      <c r="S38" s="7">
        <v>0</v>
      </c>
      <c r="T38" s="257">
        <f t="shared" si="33"/>
        <v>0</v>
      </c>
      <c r="U38" s="7">
        <v>0</v>
      </c>
      <c r="V38" s="7">
        <v>0</v>
      </c>
      <c r="W38" s="257">
        <f t="shared" si="34"/>
        <v>0</v>
      </c>
      <c r="X38" s="64">
        <v>1200000</v>
      </c>
      <c r="Y38" s="64">
        <v>0</v>
      </c>
      <c r="Z38" s="257">
        <f t="shared" si="28"/>
        <v>1200000</v>
      </c>
      <c r="AA38" s="64">
        <v>0</v>
      </c>
      <c r="AB38" s="64">
        <v>0</v>
      </c>
      <c r="AC38" s="257">
        <f t="shared" si="5"/>
        <v>0</v>
      </c>
      <c r="AD38" s="8">
        <f t="shared" si="6"/>
        <v>1200000</v>
      </c>
      <c r="AE38" s="8">
        <f t="shared" si="29"/>
        <v>0</v>
      </c>
      <c r="AF38" s="257">
        <f t="shared" si="35"/>
        <v>1200000</v>
      </c>
      <c r="AG38" s="8">
        <v>0</v>
      </c>
      <c r="AH38" s="64">
        <v>0</v>
      </c>
      <c r="AI38" s="257">
        <f t="shared" si="36"/>
        <v>0</v>
      </c>
      <c r="AJ38" s="8">
        <v>0</v>
      </c>
      <c r="AK38" s="8">
        <v>0</v>
      </c>
      <c r="AL38" s="64"/>
      <c r="AM38" s="257">
        <f t="shared" si="10"/>
        <v>0</v>
      </c>
      <c r="AN38" s="8">
        <v>1200000</v>
      </c>
      <c r="AO38" s="64"/>
      <c r="AP38" s="257">
        <f t="shared" si="37"/>
        <v>1200000</v>
      </c>
      <c r="AQ38" s="170">
        <f t="shared" si="11"/>
        <v>0</v>
      </c>
      <c r="AR38" s="47"/>
    </row>
    <row r="39" spans="2:44" ht="40.15" customHeight="1">
      <c r="B39" s="35" t="s">
        <v>293</v>
      </c>
      <c r="C39" s="353" t="s">
        <v>281</v>
      </c>
      <c r="D39" s="67"/>
      <c r="E39" s="330" t="s">
        <v>284</v>
      </c>
      <c r="F39" s="1"/>
      <c r="G39" s="345">
        <v>2025</v>
      </c>
      <c r="H39" s="345">
        <v>2025</v>
      </c>
      <c r="I39" s="7">
        <v>0</v>
      </c>
      <c r="J39" s="7">
        <v>0</v>
      </c>
      <c r="K39" s="257">
        <f t="shared" si="30"/>
        <v>0</v>
      </c>
      <c r="L39" s="7">
        <v>3260130</v>
      </c>
      <c r="M39" s="147">
        <v>0</v>
      </c>
      <c r="N39" s="257">
        <f t="shared" si="31"/>
        <v>3260130</v>
      </c>
      <c r="O39" s="7">
        <v>0</v>
      </c>
      <c r="P39" s="64">
        <v>0</v>
      </c>
      <c r="Q39" s="257">
        <f t="shared" si="32"/>
        <v>0</v>
      </c>
      <c r="R39" s="8">
        <v>0</v>
      </c>
      <c r="S39" s="64">
        <v>0</v>
      </c>
      <c r="T39" s="257">
        <f t="shared" si="33"/>
        <v>0</v>
      </c>
      <c r="U39" s="8">
        <v>0</v>
      </c>
      <c r="V39" s="64">
        <v>0</v>
      </c>
      <c r="W39" s="257">
        <f t="shared" si="34"/>
        <v>0</v>
      </c>
      <c r="X39" s="64">
        <v>0</v>
      </c>
      <c r="Y39" s="64">
        <v>0</v>
      </c>
      <c r="Z39" s="257">
        <f t="shared" si="28"/>
        <v>0</v>
      </c>
      <c r="AA39" s="64">
        <v>0</v>
      </c>
      <c r="AB39" s="64">
        <v>0</v>
      </c>
      <c r="AC39" s="257">
        <f t="shared" si="5"/>
        <v>0</v>
      </c>
      <c r="AD39" s="8">
        <f t="shared" si="6"/>
        <v>3260130</v>
      </c>
      <c r="AE39" s="8">
        <f t="shared" si="29"/>
        <v>0</v>
      </c>
      <c r="AF39" s="257">
        <f t="shared" si="35"/>
        <v>3260130</v>
      </c>
      <c r="AG39" s="8">
        <v>3260130</v>
      </c>
      <c r="AH39" s="64">
        <v>0</v>
      </c>
      <c r="AI39" s="257">
        <f t="shared" si="36"/>
        <v>3260130</v>
      </c>
      <c r="AJ39" s="8">
        <v>0</v>
      </c>
      <c r="AK39" s="8">
        <v>0</v>
      </c>
      <c r="AL39" s="64"/>
      <c r="AM39" s="257">
        <f t="shared" si="10"/>
        <v>0</v>
      </c>
      <c r="AN39" s="8">
        <v>0</v>
      </c>
      <c r="AO39" s="64"/>
      <c r="AP39" s="257">
        <f t="shared" si="37"/>
        <v>0</v>
      </c>
      <c r="AQ39" s="170">
        <f t="shared" si="11"/>
        <v>0</v>
      </c>
      <c r="AR39" s="47"/>
    </row>
    <row r="40" spans="2:44" ht="58.9" customHeight="1" thickBot="1">
      <c r="B40" s="210" t="s">
        <v>298</v>
      </c>
      <c r="C40" s="362" t="s">
        <v>299</v>
      </c>
      <c r="D40" s="184"/>
      <c r="E40" s="364" t="s">
        <v>291</v>
      </c>
      <c r="F40" s="186" t="s">
        <v>286</v>
      </c>
      <c r="G40" s="342">
        <v>2025</v>
      </c>
      <c r="H40" s="342">
        <v>2030</v>
      </c>
      <c r="I40" s="189">
        <f>SUM(I41:I47)</f>
        <v>0</v>
      </c>
      <c r="J40" s="189">
        <f>SUM(J41:J47)</f>
        <v>0</v>
      </c>
      <c r="K40" s="190">
        <f>I40+J40</f>
        <v>0</v>
      </c>
      <c r="L40" s="189">
        <f>SUM(L41:L47)</f>
        <v>8693680</v>
      </c>
      <c r="M40" s="363">
        <f>SUM(M41:M47)</f>
        <v>0</v>
      </c>
      <c r="N40" s="190">
        <f>L40+M40</f>
        <v>8693680</v>
      </c>
      <c r="O40" s="189">
        <f>SUM(O41:O47)</f>
        <v>2173420</v>
      </c>
      <c r="P40" s="190">
        <f>SUM(P41:P47)</f>
        <v>0</v>
      </c>
      <c r="Q40" s="190">
        <f>O40+P40</f>
        <v>2173420</v>
      </c>
      <c r="R40" s="190">
        <f>SUM(R41:R47)</f>
        <v>2040000</v>
      </c>
      <c r="S40" s="190">
        <f>SUM(S41:S47)</f>
        <v>0</v>
      </c>
      <c r="T40" s="190">
        <f>R40+S40</f>
        <v>2040000</v>
      </c>
      <c r="U40" s="190">
        <f>SUM(U41:U47)</f>
        <v>0</v>
      </c>
      <c r="V40" s="190">
        <f>SUM(V41:V47)</f>
        <v>0</v>
      </c>
      <c r="W40" s="190">
        <f>U40+V40</f>
        <v>0</v>
      </c>
      <c r="X40" s="190">
        <f>SUM(X41:X47)</f>
        <v>1200000</v>
      </c>
      <c r="Y40" s="190">
        <f>SUM(Y41:Y47)</f>
        <v>0</v>
      </c>
      <c r="Z40" s="190">
        <f>X40+Y40</f>
        <v>1200000</v>
      </c>
      <c r="AA40" s="190">
        <f>SUM(AA41:AA47)</f>
        <v>0</v>
      </c>
      <c r="AB40" s="190">
        <f>SUM(AB41:AB47)</f>
        <v>0</v>
      </c>
      <c r="AC40" s="190">
        <f>AA40+AB40</f>
        <v>0</v>
      </c>
      <c r="AD40" s="190">
        <f t="shared" ref="AD40:AD47" si="38">I40+L40+O40+R40+U40+X40+AA40</f>
        <v>14107100</v>
      </c>
      <c r="AE40" s="190">
        <f>J40+M40+P40+S40+V40+Y40+AB40</f>
        <v>0</v>
      </c>
      <c r="AF40" s="190">
        <f>AD40+AE40</f>
        <v>14107100</v>
      </c>
      <c r="AG40" s="190">
        <f>SUM(AG41:AG47)</f>
        <v>10867100</v>
      </c>
      <c r="AH40" s="190">
        <f>SUM(AH41:AH47)</f>
        <v>0</v>
      </c>
      <c r="AI40" s="190">
        <f>AG40+AH40</f>
        <v>10867100</v>
      </c>
      <c r="AJ40" s="190">
        <f>SUM(AJ41:AJ47)</f>
        <v>0</v>
      </c>
      <c r="AK40" s="190">
        <f>SUM(AK41:AK47)</f>
        <v>0</v>
      </c>
      <c r="AL40" s="190"/>
      <c r="AM40" s="190">
        <f>AJ40+AK40</f>
        <v>0</v>
      </c>
      <c r="AN40" s="190">
        <f>SUM(AN41:AN47)</f>
        <v>3240000</v>
      </c>
      <c r="AO40" s="190">
        <f>SUM(AO41:AO47)</f>
        <v>0</v>
      </c>
      <c r="AP40" s="190">
        <f>AN40+AO40</f>
        <v>3240000</v>
      </c>
      <c r="AQ40" s="211">
        <f t="shared" si="11"/>
        <v>0</v>
      </c>
      <c r="AR40" s="47"/>
    </row>
    <row r="41" spans="2:44" ht="90" customHeight="1">
      <c r="B41" s="35" t="s">
        <v>300</v>
      </c>
      <c r="C41" s="355" t="s">
        <v>1616</v>
      </c>
      <c r="D41" s="67"/>
      <c r="E41" s="329" t="s">
        <v>290</v>
      </c>
      <c r="F41" s="1" t="s">
        <v>286</v>
      </c>
      <c r="G41" s="351">
        <v>2025</v>
      </c>
      <c r="H41" s="351">
        <v>2025</v>
      </c>
      <c r="I41" s="7">
        <v>0</v>
      </c>
      <c r="J41" s="7">
        <v>0</v>
      </c>
      <c r="K41" s="257">
        <f t="shared" ref="K41:K47" si="39">I41+J41</f>
        <v>0</v>
      </c>
      <c r="L41" s="7">
        <v>3260130</v>
      </c>
      <c r="M41" s="147">
        <v>0</v>
      </c>
      <c r="N41" s="257">
        <f t="shared" ref="N41:N47" si="40">L41+M41</f>
        <v>3260130</v>
      </c>
      <c r="O41" s="7">
        <v>0</v>
      </c>
      <c r="P41" s="147">
        <v>0</v>
      </c>
      <c r="Q41" s="257">
        <f t="shared" ref="Q41:Q47" si="41">O41+P41</f>
        <v>0</v>
      </c>
      <c r="R41" s="7">
        <v>0</v>
      </c>
      <c r="S41" s="147">
        <v>0</v>
      </c>
      <c r="T41" s="257">
        <f t="shared" ref="T41:T91" si="42">R41+S41</f>
        <v>0</v>
      </c>
      <c r="U41" s="7">
        <v>0</v>
      </c>
      <c r="V41" s="147">
        <v>0</v>
      </c>
      <c r="W41" s="257">
        <f t="shared" ref="W41:W98" si="43">U41+V41</f>
        <v>0</v>
      </c>
      <c r="X41" s="7">
        <v>0</v>
      </c>
      <c r="Y41" s="147">
        <v>0</v>
      </c>
      <c r="Z41" s="257">
        <f t="shared" ref="Z41:Z98" si="44">X41+Y41</f>
        <v>0</v>
      </c>
      <c r="AA41" s="7">
        <v>0</v>
      </c>
      <c r="AB41" s="147">
        <v>0</v>
      </c>
      <c r="AC41" s="257">
        <f t="shared" ref="AC41:AC91" si="45">AA41+AB41</f>
        <v>0</v>
      </c>
      <c r="AD41" s="8">
        <f t="shared" si="38"/>
        <v>3260130</v>
      </c>
      <c r="AE41" s="8">
        <f t="shared" ref="AE41:AE47" si="46">J41+M41+P41+S41+V41+Y41+AB41</f>
        <v>0</v>
      </c>
      <c r="AF41" s="257">
        <f t="shared" ref="AF41:AF47" si="47">AD41+AE41</f>
        <v>3260130</v>
      </c>
      <c r="AG41" s="8">
        <v>3260130</v>
      </c>
      <c r="AH41" s="64">
        <v>0</v>
      </c>
      <c r="AI41" s="257">
        <f t="shared" ref="AI41:AI55" si="48">AG41+AH41</f>
        <v>3260130</v>
      </c>
      <c r="AJ41" s="8">
        <v>0</v>
      </c>
      <c r="AK41" s="8">
        <v>0</v>
      </c>
      <c r="AL41" s="64"/>
      <c r="AM41" s="257">
        <f t="shared" ref="AM41:AM43" si="49">AJ41+AK41</f>
        <v>0</v>
      </c>
      <c r="AN41" s="8">
        <v>0</v>
      </c>
      <c r="AO41" s="64">
        <v>0</v>
      </c>
      <c r="AP41" s="257">
        <f t="shared" ref="AP41:AP98" si="50">AN41+AO41</f>
        <v>0</v>
      </c>
      <c r="AQ41" s="170">
        <f t="shared" si="11"/>
        <v>0</v>
      </c>
      <c r="AR41" s="47"/>
    </row>
    <row r="42" spans="2:44" ht="40.9" customHeight="1">
      <c r="B42" s="35" t="s">
        <v>301</v>
      </c>
      <c r="C42" s="356" t="s">
        <v>276</v>
      </c>
      <c r="D42" s="67"/>
      <c r="E42" s="330" t="s">
        <v>284</v>
      </c>
      <c r="F42" s="1"/>
      <c r="G42" s="345">
        <v>2025</v>
      </c>
      <c r="H42" s="345">
        <v>2025</v>
      </c>
      <c r="I42" s="7">
        <v>0</v>
      </c>
      <c r="J42" s="7">
        <v>0</v>
      </c>
      <c r="K42" s="257">
        <f t="shared" si="39"/>
        <v>0</v>
      </c>
      <c r="L42" s="7">
        <v>2173420</v>
      </c>
      <c r="M42" s="147">
        <v>0</v>
      </c>
      <c r="N42" s="257">
        <f t="shared" si="40"/>
        <v>2173420</v>
      </c>
      <c r="O42" s="7">
        <v>0</v>
      </c>
      <c r="P42" s="147">
        <v>0</v>
      </c>
      <c r="Q42" s="257">
        <f t="shared" si="41"/>
        <v>0</v>
      </c>
      <c r="R42" s="7">
        <v>0</v>
      </c>
      <c r="S42" s="147">
        <v>0</v>
      </c>
      <c r="T42" s="257">
        <f t="shared" si="42"/>
        <v>0</v>
      </c>
      <c r="U42" s="7">
        <v>0</v>
      </c>
      <c r="V42" s="147">
        <v>0</v>
      </c>
      <c r="W42" s="257">
        <f t="shared" si="43"/>
        <v>0</v>
      </c>
      <c r="X42" s="7">
        <v>0</v>
      </c>
      <c r="Y42" s="147">
        <v>0</v>
      </c>
      <c r="Z42" s="257">
        <f t="shared" si="44"/>
        <v>0</v>
      </c>
      <c r="AA42" s="7">
        <v>0</v>
      </c>
      <c r="AB42" s="147">
        <v>0</v>
      </c>
      <c r="AC42" s="257">
        <f t="shared" si="45"/>
        <v>0</v>
      </c>
      <c r="AD42" s="8">
        <f t="shared" si="38"/>
        <v>2173420</v>
      </c>
      <c r="AE42" s="8">
        <f t="shared" si="46"/>
        <v>0</v>
      </c>
      <c r="AF42" s="257">
        <f t="shared" si="47"/>
        <v>2173420</v>
      </c>
      <c r="AG42" s="8">
        <v>2173420</v>
      </c>
      <c r="AH42" s="64">
        <v>0</v>
      </c>
      <c r="AI42" s="257">
        <f t="shared" si="48"/>
        <v>2173420</v>
      </c>
      <c r="AJ42" s="8">
        <v>0</v>
      </c>
      <c r="AK42" s="8">
        <v>0</v>
      </c>
      <c r="AL42" s="64"/>
      <c r="AM42" s="257">
        <f t="shared" si="49"/>
        <v>0</v>
      </c>
      <c r="AN42" s="8">
        <v>0</v>
      </c>
      <c r="AO42" s="64">
        <v>0</v>
      </c>
      <c r="AP42" s="257">
        <f t="shared" si="50"/>
        <v>0</v>
      </c>
      <c r="AQ42" s="170">
        <f t="shared" si="11"/>
        <v>0</v>
      </c>
      <c r="AR42" s="47"/>
    </row>
    <row r="43" spans="2:44" ht="43.15" customHeight="1">
      <c r="B43" s="35" t="s">
        <v>302</v>
      </c>
      <c r="C43" s="356" t="s">
        <v>277</v>
      </c>
      <c r="D43" s="67"/>
      <c r="E43" s="330" t="s">
        <v>284</v>
      </c>
      <c r="F43" s="1"/>
      <c r="G43" s="345">
        <v>2026</v>
      </c>
      <c r="H43" s="345">
        <v>2026</v>
      </c>
      <c r="I43" s="7">
        <v>0</v>
      </c>
      <c r="J43" s="7">
        <v>0</v>
      </c>
      <c r="K43" s="257">
        <f t="shared" si="39"/>
        <v>0</v>
      </c>
      <c r="L43" s="7">
        <v>0</v>
      </c>
      <c r="M43" s="147">
        <v>0</v>
      </c>
      <c r="N43" s="257">
        <f t="shared" si="40"/>
        <v>0</v>
      </c>
      <c r="O43" s="7">
        <v>2173420</v>
      </c>
      <c r="P43" s="64">
        <v>0</v>
      </c>
      <c r="Q43" s="257">
        <f t="shared" si="41"/>
        <v>2173420</v>
      </c>
      <c r="R43" s="7">
        <v>0</v>
      </c>
      <c r="S43" s="147">
        <v>0</v>
      </c>
      <c r="T43" s="257">
        <f t="shared" si="42"/>
        <v>0</v>
      </c>
      <c r="U43" s="7">
        <v>0</v>
      </c>
      <c r="V43" s="147">
        <v>0</v>
      </c>
      <c r="W43" s="257">
        <f t="shared" si="43"/>
        <v>0</v>
      </c>
      <c r="X43" s="7">
        <v>0</v>
      </c>
      <c r="Y43" s="147">
        <v>0</v>
      </c>
      <c r="Z43" s="257">
        <f t="shared" si="44"/>
        <v>0</v>
      </c>
      <c r="AA43" s="7">
        <v>0</v>
      </c>
      <c r="AB43" s="147">
        <v>0</v>
      </c>
      <c r="AC43" s="257">
        <f t="shared" si="45"/>
        <v>0</v>
      </c>
      <c r="AD43" s="8">
        <f t="shared" si="38"/>
        <v>2173420</v>
      </c>
      <c r="AE43" s="8">
        <f t="shared" si="46"/>
        <v>0</v>
      </c>
      <c r="AF43" s="257">
        <f t="shared" si="47"/>
        <v>2173420</v>
      </c>
      <c r="AG43" s="8">
        <v>2173420</v>
      </c>
      <c r="AH43" s="64">
        <v>0</v>
      </c>
      <c r="AI43" s="257">
        <f t="shared" si="48"/>
        <v>2173420</v>
      </c>
      <c r="AJ43" s="8">
        <v>0</v>
      </c>
      <c r="AK43" s="8">
        <v>0</v>
      </c>
      <c r="AL43" s="64"/>
      <c r="AM43" s="257">
        <f t="shared" si="49"/>
        <v>0</v>
      </c>
      <c r="AN43" s="8">
        <v>0</v>
      </c>
      <c r="AO43" s="64">
        <v>0</v>
      </c>
      <c r="AP43" s="257">
        <f t="shared" si="50"/>
        <v>0</v>
      </c>
      <c r="AQ43" s="170">
        <f t="shared" si="11"/>
        <v>0</v>
      </c>
      <c r="AR43" s="47"/>
    </row>
    <row r="44" spans="2:44" ht="45.6" customHeight="1">
      <c r="B44" s="35" t="s">
        <v>303</v>
      </c>
      <c r="C44" s="356" t="s">
        <v>278</v>
      </c>
      <c r="D44" s="67"/>
      <c r="E44" s="330" t="s">
        <v>284</v>
      </c>
      <c r="F44" s="1"/>
      <c r="G44" s="345">
        <v>2027</v>
      </c>
      <c r="H44" s="345">
        <v>2027</v>
      </c>
      <c r="I44" s="7">
        <v>0</v>
      </c>
      <c r="J44" s="7">
        <v>0</v>
      </c>
      <c r="K44" s="257">
        <f t="shared" si="39"/>
        <v>0</v>
      </c>
      <c r="L44" s="7">
        <v>0</v>
      </c>
      <c r="M44" s="147">
        <v>0</v>
      </c>
      <c r="N44" s="257">
        <f t="shared" si="40"/>
        <v>0</v>
      </c>
      <c r="O44" s="7">
        <v>0</v>
      </c>
      <c r="P44" s="64">
        <v>0</v>
      </c>
      <c r="Q44" s="257">
        <f t="shared" si="41"/>
        <v>0</v>
      </c>
      <c r="R44" s="8">
        <v>1800000</v>
      </c>
      <c r="S44" s="64">
        <v>0</v>
      </c>
      <c r="T44" s="257">
        <f t="shared" si="42"/>
        <v>1800000</v>
      </c>
      <c r="U44" s="7">
        <v>0</v>
      </c>
      <c r="V44" s="147">
        <v>0</v>
      </c>
      <c r="W44" s="257">
        <f t="shared" si="43"/>
        <v>0</v>
      </c>
      <c r="X44" s="7">
        <v>0</v>
      </c>
      <c r="Y44" s="147">
        <v>0</v>
      </c>
      <c r="Z44" s="257">
        <f t="shared" si="44"/>
        <v>0</v>
      </c>
      <c r="AA44" s="7">
        <v>0</v>
      </c>
      <c r="AB44" s="147">
        <v>0</v>
      </c>
      <c r="AC44" s="257">
        <f t="shared" si="45"/>
        <v>0</v>
      </c>
      <c r="AD44" s="8">
        <f t="shared" si="38"/>
        <v>1800000</v>
      </c>
      <c r="AE44" s="8">
        <f t="shared" si="46"/>
        <v>0</v>
      </c>
      <c r="AF44" s="257">
        <f t="shared" si="47"/>
        <v>1800000</v>
      </c>
      <c r="AG44" s="8">
        <v>0</v>
      </c>
      <c r="AH44" s="64">
        <v>0</v>
      </c>
      <c r="AI44" s="257">
        <f t="shared" si="48"/>
        <v>0</v>
      </c>
      <c r="AJ44" s="8">
        <v>0</v>
      </c>
      <c r="AK44" s="8">
        <v>0</v>
      </c>
      <c r="AL44" s="64"/>
      <c r="AM44" s="257">
        <f t="shared" ref="AM44:AM47" si="51">AJ44+AK44</f>
        <v>0</v>
      </c>
      <c r="AN44" s="8">
        <v>1800000</v>
      </c>
      <c r="AO44" s="64">
        <v>0</v>
      </c>
      <c r="AP44" s="257">
        <f t="shared" si="50"/>
        <v>1800000</v>
      </c>
      <c r="AQ44" s="170">
        <f t="shared" si="11"/>
        <v>0</v>
      </c>
      <c r="AR44" s="47"/>
    </row>
    <row r="45" spans="2:44" ht="36.6" customHeight="1">
      <c r="B45" s="35" t="s">
        <v>304</v>
      </c>
      <c r="C45" s="356" t="s">
        <v>279</v>
      </c>
      <c r="D45" s="67"/>
      <c r="E45" s="330" t="s">
        <v>284</v>
      </c>
      <c r="F45" s="1"/>
      <c r="G45" s="345">
        <v>2027</v>
      </c>
      <c r="H45" s="345">
        <v>2027</v>
      </c>
      <c r="I45" s="7">
        <v>0</v>
      </c>
      <c r="J45" s="7">
        <v>0</v>
      </c>
      <c r="K45" s="257">
        <f t="shared" si="39"/>
        <v>0</v>
      </c>
      <c r="L45" s="7">
        <v>0</v>
      </c>
      <c r="M45" s="147">
        <v>0</v>
      </c>
      <c r="N45" s="257">
        <f t="shared" si="40"/>
        <v>0</v>
      </c>
      <c r="O45" s="7">
        <v>0</v>
      </c>
      <c r="P45" s="147">
        <v>0</v>
      </c>
      <c r="Q45" s="257">
        <f t="shared" si="41"/>
        <v>0</v>
      </c>
      <c r="R45" s="8">
        <v>240000</v>
      </c>
      <c r="S45" s="64">
        <v>0</v>
      </c>
      <c r="T45" s="257">
        <f t="shared" si="42"/>
        <v>240000</v>
      </c>
      <c r="U45" s="7">
        <v>0</v>
      </c>
      <c r="V45" s="147">
        <v>0</v>
      </c>
      <c r="W45" s="257">
        <f t="shared" si="43"/>
        <v>0</v>
      </c>
      <c r="X45" s="7">
        <v>0</v>
      </c>
      <c r="Y45" s="147">
        <v>0</v>
      </c>
      <c r="Z45" s="257">
        <f t="shared" si="44"/>
        <v>0</v>
      </c>
      <c r="AA45" s="7">
        <v>0</v>
      </c>
      <c r="AB45" s="147">
        <v>0</v>
      </c>
      <c r="AC45" s="257">
        <f t="shared" si="45"/>
        <v>0</v>
      </c>
      <c r="AD45" s="8">
        <f t="shared" si="38"/>
        <v>240000</v>
      </c>
      <c r="AE45" s="8">
        <f t="shared" si="46"/>
        <v>0</v>
      </c>
      <c r="AF45" s="257">
        <f t="shared" si="47"/>
        <v>240000</v>
      </c>
      <c r="AG45" s="8">
        <v>0</v>
      </c>
      <c r="AH45" s="64">
        <v>0</v>
      </c>
      <c r="AI45" s="257">
        <f t="shared" si="48"/>
        <v>0</v>
      </c>
      <c r="AJ45" s="8">
        <v>0</v>
      </c>
      <c r="AK45" s="8">
        <v>0</v>
      </c>
      <c r="AL45" s="64"/>
      <c r="AM45" s="257">
        <f t="shared" si="51"/>
        <v>0</v>
      </c>
      <c r="AN45" s="8">
        <v>240000</v>
      </c>
      <c r="AO45" s="64">
        <v>0</v>
      </c>
      <c r="AP45" s="257">
        <f t="shared" si="50"/>
        <v>240000</v>
      </c>
      <c r="AQ45" s="170">
        <f t="shared" si="11"/>
        <v>0</v>
      </c>
      <c r="AR45" s="47"/>
    </row>
    <row r="46" spans="2:44" ht="46.9" customHeight="1">
      <c r="B46" s="35" t="s">
        <v>305</v>
      </c>
      <c r="C46" s="356" t="s">
        <v>280</v>
      </c>
      <c r="D46" s="67"/>
      <c r="E46" s="330" t="s">
        <v>285</v>
      </c>
      <c r="F46" s="1"/>
      <c r="G46" s="345">
        <v>2029</v>
      </c>
      <c r="H46" s="345">
        <v>2029</v>
      </c>
      <c r="I46" s="7">
        <v>0</v>
      </c>
      <c r="J46" s="7">
        <v>0</v>
      </c>
      <c r="K46" s="257">
        <f t="shared" si="39"/>
        <v>0</v>
      </c>
      <c r="L46" s="7">
        <v>0</v>
      </c>
      <c r="M46" s="147">
        <v>0</v>
      </c>
      <c r="N46" s="257">
        <f t="shared" si="40"/>
        <v>0</v>
      </c>
      <c r="O46" s="7">
        <v>0</v>
      </c>
      <c r="P46" s="147">
        <v>0</v>
      </c>
      <c r="Q46" s="257">
        <f t="shared" si="41"/>
        <v>0</v>
      </c>
      <c r="R46" s="7">
        <v>0</v>
      </c>
      <c r="S46" s="147">
        <v>0</v>
      </c>
      <c r="T46" s="257">
        <f t="shared" si="42"/>
        <v>0</v>
      </c>
      <c r="U46" s="7">
        <v>0</v>
      </c>
      <c r="V46" s="147">
        <v>0</v>
      </c>
      <c r="W46" s="257">
        <f t="shared" si="43"/>
        <v>0</v>
      </c>
      <c r="X46" s="64">
        <v>1200000</v>
      </c>
      <c r="Y46" s="64">
        <v>0</v>
      </c>
      <c r="Z46" s="257">
        <f t="shared" si="44"/>
        <v>1200000</v>
      </c>
      <c r="AA46" s="7">
        <v>0</v>
      </c>
      <c r="AB46" s="147">
        <v>0</v>
      </c>
      <c r="AC46" s="257">
        <f t="shared" si="45"/>
        <v>0</v>
      </c>
      <c r="AD46" s="8">
        <f t="shared" si="38"/>
        <v>1200000</v>
      </c>
      <c r="AE46" s="8">
        <f t="shared" si="46"/>
        <v>0</v>
      </c>
      <c r="AF46" s="257">
        <f t="shared" si="47"/>
        <v>1200000</v>
      </c>
      <c r="AG46" s="8">
        <v>0</v>
      </c>
      <c r="AH46" s="64">
        <v>0</v>
      </c>
      <c r="AI46" s="257">
        <f t="shared" si="48"/>
        <v>0</v>
      </c>
      <c r="AJ46" s="8">
        <v>0</v>
      </c>
      <c r="AK46" s="8">
        <v>0</v>
      </c>
      <c r="AL46" s="64"/>
      <c r="AM46" s="257">
        <f t="shared" si="51"/>
        <v>0</v>
      </c>
      <c r="AN46" s="8">
        <v>1200000</v>
      </c>
      <c r="AO46" s="64">
        <v>0</v>
      </c>
      <c r="AP46" s="257">
        <f t="shared" si="50"/>
        <v>1200000</v>
      </c>
      <c r="AQ46" s="170">
        <f t="shared" si="11"/>
        <v>0</v>
      </c>
      <c r="AR46" s="47"/>
    </row>
    <row r="47" spans="2:44" ht="35.450000000000003" customHeight="1">
      <c r="B47" s="35" t="s">
        <v>306</v>
      </c>
      <c r="C47" s="356" t="s">
        <v>281</v>
      </c>
      <c r="D47" s="67"/>
      <c r="E47" s="330" t="s">
        <v>284</v>
      </c>
      <c r="F47" s="1"/>
      <c r="G47" s="345">
        <v>2025</v>
      </c>
      <c r="H47" s="345">
        <v>2025</v>
      </c>
      <c r="I47" s="7">
        <v>0</v>
      </c>
      <c r="J47" s="7">
        <v>0</v>
      </c>
      <c r="K47" s="257">
        <f t="shared" si="39"/>
        <v>0</v>
      </c>
      <c r="L47" s="7">
        <v>3260130</v>
      </c>
      <c r="M47" s="147">
        <v>0</v>
      </c>
      <c r="N47" s="257">
        <f t="shared" si="40"/>
        <v>3260130</v>
      </c>
      <c r="O47" s="7">
        <v>0</v>
      </c>
      <c r="P47" s="147">
        <v>0</v>
      </c>
      <c r="Q47" s="257">
        <f t="shared" si="41"/>
        <v>0</v>
      </c>
      <c r="R47" s="7">
        <v>0</v>
      </c>
      <c r="S47" s="147">
        <v>0</v>
      </c>
      <c r="T47" s="257">
        <f t="shared" si="42"/>
        <v>0</v>
      </c>
      <c r="U47" s="7">
        <v>0</v>
      </c>
      <c r="V47" s="147">
        <v>0</v>
      </c>
      <c r="W47" s="257">
        <f t="shared" si="43"/>
        <v>0</v>
      </c>
      <c r="X47" s="7">
        <v>0</v>
      </c>
      <c r="Y47" s="147">
        <v>0</v>
      </c>
      <c r="Z47" s="257">
        <f t="shared" si="44"/>
        <v>0</v>
      </c>
      <c r="AA47" s="7">
        <v>0</v>
      </c>
      <c r="AB47" s="147">
        <v>0</v>
      </c>
      <c r="AC47" s="257">
        <f t="shared" si="45"/>
        <v>0</v>
      </c>
      <c r="AD47" s="8">
        <f t="shared" si="38"/>
        <v>3260130</v>
      </c>
      <c r="AE47" s="8">
        <f t="shared" si="46"/>
        <v>0</v>
      </c>
      <c r="AF47" s="257">
        <f t="shared" si="47"/>
        <v>3260130</v>
      </c>
      <c r="AG47" s="8">
        <v>3260130</v>
      </c>
      <c r="AH47" s="64">
        <v>0</v>
      </c>
      <c r="AI47" s="257">
        <f t="shared" si="48"/>
        <v>3260130</v>
      </c>
      <c r="AJ47" s="8">
        <v>0</v>
      </c>
      <c r="AK47" s="8">
        <v>0</v>
      </c>
      <c r="AL47" s="64"/>
      <c r="AM47" s="257">
        <f t="shared" si="51"/>
        <v>0</v>
      </c>
      <c r="AN47" s="8">
        <v>0</v>
      </c>
      <c r="AO47" s="64">
        <v>0</v>
      </c>
      <c r="AP47" s="257">
        <f t="shared" si="50"/>
        <v>0</v>
      </c>
      <c r="AQ47" s="170">
        <f t="shared" si="11"/>
        <v>0</v>
      </c>
      <c r="AR47" s="47"/>
    </row>
    <row r="48" spans="2:44" ht="90" customHeight="1" thickBot="1">
      <c r="B48" s="210" t="s">
        <v>307</v>
      </c>
      <c r="C48" s="365" t="s">
        <v>315</v>
      </c>
      <c r="D48" s="184"/>
      <c r="E48" s="366" t="s">
        <v>291</v>
      </c>
      <c r="F48" s="186" t="s">
        <v>286</v>
      </c>
      <c r="G48" s="343">
        <v>2024</v>
      </c>
      <c r="H48" s="343">
        <v>2028</v>
      </c>
      <c r="I48" s="189">
        <f>SUM(I49:I55)</f>
        <v>3260130</v>
      </c>
      <c r="J48" s="189">
        <f>SUM(J49:J55)</f>
        <v>0</v>
      </c>
      <c r="K48" s="190">
        <f>I48+J48</f>
        <v>3260130</v>
      </c>
      <c r="L48" s="189">
        <f>SUM(L49:L55)</f>
        <v>9646970</v>
      </c>
      <c r="M48" s="363">
        <f>SUM(M49:M55)</f>
        <v>0</v>
      </c>
      <c r="N48" s="190">
        <f>L48+M48</f>
        <v>9646970</v>
      </c>
      <c r="O48" s="189">
        <f>SUM(O49:O55)</f>
        <v>0</v>
      </c>
      <c r="P48" s="190">
        <f>SUM(P49:P55)</f>
        <v>0</v>
      </c>
      <c r="Q48" s="190">
        <f>O48+P48</f>
        <v>0</v>
      </c>
      <c r="R48" s="190">
        <f>SUM(R49:R55)</f>
        <v>1200000</v>
      </c>
      <c r="S48" s="190">
        <f>SUM(S49:S55)</f>
        <v>0</v>
      </c>
      <c r="T48" s="190">
        <f t="shared" si="42"/>
        <v>1200000</v>
      </c>
      <c r="U48" s="190">
        <f>SUM(U49:U55)</f>
        <v>0</v>
      </c>
      <c r="V48" s="190">
        <f>SUM(V49:V55)</f>
        <v>0</v>
      </c>
      <c r="W48" s="190">
        <f t="shared" si="43"/>
        <v>0</v>
      </c>
      <c r="X48" s="190">
        <f>SUM(X49:X55)</f>
        <v>0</v>
      </c>
      <c r="Y48" s="190">
        <f>SUM(Y49:Y55)</f>
        <v>0</v>
      </c>
      <c r="Z48" s="190">
        <f t="shared" si="44"/>
        <v>0</v>
      </c>
      <c r="AA48" s="190">
        <f>SUM(AA49:AA55)</f>
        <v>0</v>
      </c>
      <c r="AB48" s="190">
        <f>SUM(AB49:AB55)</f>
        <v>0</v>
      </c>
      <c r="AC48" s="190">
        <f t="shared" si="45"/>
        <v>0</v>
      </c>
      <c r="AD48" s="190">
        <f t="shared" ref="AD48:AD55" si="52">I48+L48+O48+R48+U48+X48+AA48</f>
        <v>14107100</v>
      </c>
      <c r="AE48" s="190">
        <f>J48+M48+P48+S48+V48+Y48+AB48</f>
        <v>0</v>
      </c>
      <c r="AF48" s="190">
        <f>AD48+AE48</f>
        <v>14107100</v>
      </c>
      <c r="AG48" s="190">
        <f>SUM(AG49:AG55)</f>
        <v>12907100</v>
      </c>
      <c r="AH48" s="190">
        <f>SUM(AH49:AH55)</f>
        <v>0</v>
      </c>
      <c r="AI48" s="190">
        <f t="shared" si="48"/>
        <v>12907100</v>
      </c>
      <c r="AJ48" s="190">
        <f>SUM(AJ49:AJ55)</f>
        <v>0</v>
      </c>
      <c r="AK48" s="190">
        <f>SUM(AK49:AK55)</f>
        <v>0</v>
      </c>
      <c r="AL48" s="190"/>
      <c r="AM48" s="190">
        <f>AJ48+AK48</f>
        <v>0</v>
      </c>
      <c r="AN48" s="190">
        <f>SUM(AN49:AN55)</f>
        <v>1200000</v>
      </c>
      <c r="AO48" s="190">
        <f>SUM(AO49:AO55)</f>
        <v>0</v>
      </c>
      <c r="AP48" s="190">
        <f t="shared" si="50"/>
        <v>1200000</v>
      </c>
      <c r="AQ48" s="211">
        <f t="shared" si="11"/>
        <v>0</v>
      </c>
      <c r="AR48" s="47"/>
    </row>
    <row r="49" spans="2:44" ht="90" customHeight="1">
      <c r="B49" s="35" t="s">
        <v>308</v>
      </c>
      <c r="C49" s="352" t="s">
        <v>1614</v>
      </c>
      <c r="D49" s="67"/>
      <c r="E49" s="323" t="s">
        <v>290</v>
      </c>
      <c r="F49" s="367" t="s">
        <v>286</v>
      </c>
      <c r="G49" s="351">
        <v>2024</v>
      </c>
      <c r="H49" s="351">
        <v>2024</v>
      </c>
      <c r="I49" s="7">
        <v>3260130</v>
      </c>
      <c r="J49" s="7">
        <v>0</v>
      </c>
      <c r="K49" s="257">
        <f t="shared" ref="K49:K55" si="53">I49+J49</f>
        <v>3260130</v>
      </c>
      <c r="L49" s="7">
        <v>0</v>
      </c>
      <c r="M49" s="7">
        <v>0</v>
      </c>
      <c r="N49" s="257">
        <f t="shared" ref="N49:N101" si="54">L49+M49</f>
        <v>0</v>
      </c>
      <c r="O49" s="7">
        <v>0</v>
      </c>
      <c r="P49" s="7">
        <v>0</v>
      </c>
      <c r="Q49" s="257">
        <f t="shared" ref="Q49:Q101" si="55">O49+P49</f>
        <v>0</v>
      </c>
      <c r="R49" s="7">
        <v>0</v>
      </c>
      <c r="S49" s="7">
        <v>0</v>
      </c>
      <c r="T49" s="257">
        <f t="shared" si="42"/>
        <v>0</v>
      </c>
      <c r="U49" s="7">
        <v>0</v>
      </c>
      <c r="V49" s="7">
        <v>0</v>
      </c>
      <c r="W49" s="257">
        <f t="shared" si="43"/>
        <v>0</v>
      </c>
      <c r="X49" s="7">
        <v>0</v>
      </c>
      <c r="Y49" s="7">
        <v>0</v>
      </c>
      <c r="Z49" s="257">
        <f t="shared" si="44"/>
        <v>0</v>
      </c>
      <c r="AA49" s="7">
        <v>0</v>
      </c>
      <c r="AB49" s="7">
        <v>0</v>
      </c>
      <c r="AC49" s="257">
        <f t="shared" si="45"/>
        <v>0</v>
      </c>
      <c r="AD49" s="8">
        <f t="shared" si="52"/>
        <v>3260130</v>
      </c>
      <c r="AE49" s="8">
        <f t="shared" ref="AE49:AE55" si="56">J49+M49+P49+S49+V49+Y49+AB49</f>
        <v>0</v>
      </c>
      <c r="AF49" s="257">
        <f>AD49+AE49</f>
        <v>3260130</v>
      </c>
      <c r="AG49" s="8">
        <v>3260130</v>
      </c>
      <c r="AH49" s="64">
        <v>0</v>
      </c>
      <c r="AI49" s="257">
        <f t="shared" si="48"/>
        <v>3260130</v>
      </c>
      <c r="AJ49" s="8">
        <v>0</v>
      </c>
      <c r="AK49" s="8">
        <v>0</v>
      </c>
      <c r="AL49" s="64"/>
      <c r="AM49" s="257">
        <f>AJ49+AK49</f>
        <v>0</v>
      </c>
      <c r="AN49" s="8">
        <v>0</v>
      </c>
      <c r="AO49" s="64">
        <v>0</v>
      </c>
      <c r="AP49" s="257">
        <f t="shared" si="50"/>
        <v>0</v>
      </c>
      <c r="AQ49" s="170">
        <f t="shared" si="11"/>
        <v>0</v>
      </c>
      <c r="AR49" s="47"/>
    </row>
    <row r="50" spans="2:44" ht="43.15" customHeight="1">
      <c r="B50" s="35" t="s">
        <v>309</v>
      </c>
      <c r="C50" s="353" t="s">
        <v>276</v>
      </c>
      <c r="D50" s="67"/>
      <c r="E50" s="39" t="s">
        <v>284</v>
      </c>
      <c r="F50" s="368"/>
      <c r="G50" s="345">
        <v>2025</v>
      </c>
      <c r="H50" s="345">
        <v>2025</v>
      </c>
      <c r="I50" s="7">
        <v>0</v>
      </c>
      <c r="J50" s="7">
        <v>0</v>
      </c>
      <c r="K50" s="257">
        <f t="shared" si="53"/>
        <v>0</v>
      </c>
      <c r="L50" s="7">
        <v>2173420</v>
      </c>
      <c r="M50" s="147">
        <v>0</v>
      </c>
      <c r="N50" s="257">
        <f t="shared" si="54"/>
        <v>2173420</v>
      </c>
      <c r="O50" s="7">
        <v>0</v>
      </c>
      <c r="P50" s="7">
        <v>0</v>
      </c>
      <c r="Q50" s="257">
        <f t="shared" si="55"/>
        <v>0</v>
      </c>
      <c r="R50" s="7">
        <v>0</v>
      </c>
      <c r="S50" s="7">
        <v>0</v>
      </c>
      <c r="T50" s="257">
        <f t="shared" si="42"/>
        <v>0</v>
      </c>
      <c r="U50" s="7">
        <v>0</v>
      </c>
      <c r="V50" s="7">
        <v>0</v>
      </c>
      <c r="W50" s="257">
        <f t="shared" si="43"/>
        <v>0</v>
      </c>
      <c r="X50" s="7">
        <v>0</v>
      </c>
      <c r="Y50" s="7">
        <v>0</v>
      </c>
      <c r="Z50" s="257">
        <f t="shared" si="44"/>
        <v>0</v>
      </c>
      <c r="AA50" s="7">
        <v>0</v>
      </c>
      <c r="AB50" s="7">
        <v>0</v>
      </c>
      <c r="AC50" s="257">
        <f t="shared" si="45"/>
        <v>0</v>
      </c>
      <c r="AD50" s="8">
        <f t="shared" si="52"/>
        <v>2173420</v>
      </c>
      <c r="AE50" s="8">
        <f t="shared" si="56"/>
        <v>0</v>
      </c>
      <c r="AF50" s="257">
        <f t="shared" ref="AF50:AF55" si="57">AD50+AE50</f>
        <v>2173420</v>
      </c>
      <c r="AG50" s="8">
        <v>2173420</v>
      </c>
      <c r="AH50" s="64">
        <v>0</v>
      </c>
      <c r="AI50" s="257">
        <f t="shared" si="48"/>
        <v>2173420</v>
      </c>
      <c r="AJ50" s="8">
        <v>0</v>
      </c>
      <c r="AK50" s="8">
        <v>0</v>
      </c>
      <c r="AL50" s="64"/>
      <c r="AM50" s="257">
        <f t="shared" ref="AM50:AM55" si="58">AJ50+AK50</f>
        <v>0</v>
      </c>
      <c r="AN50" s="8">
        <v>0</v>
      </c>
      <c r="AO50" s="64">
        <v>0</v>
      </c>
      <c r="AP50" s="257">
        <f t="shared" si="50"/>
        <v>0</v>
      </c>
      <c r="AQ50" s="170">
        <f t="shared" si="11"/>
        <v>0</v>
      </c>
      <c r="AR50" s="47"/>
    </row>
    <row r="51" spans="2:44" ht="28.9" customHeight="1">
      <c r="B51" s="35" t="s">
        <v>310</v>
      </c>
      <c r="C51" s="353" t="s">
        <v>277</v>
      </c>
      <c r="D51" s="67"/>
      <c r="E51" s="39" t="s">
        <v>284</v>
      </c>
      <c r="F51" s="368"/>
      <c r="G51" s="345">
        <v>2025</v>
      </c>
      <c r="H51" s="345">
        <v>2025</v>
      </c>
      <c r="I51" s="7">
        <v>0</v>
      </c>
      <c r="J51" s="7">
        <v>0</v>
      </c>
      <c r="K51" s="257">
        <f t="shared" si="53"/>
        <v>0</v>
      </c>
      <c r="L51" s="7">
        <v>2173420</v>
      </c>
      <c r="M51" s="147">
        <v>0</v>
      </c>
      <c r="N51" s="257">
        <f t="shared" si="54"/>
        <v>2173420</v>
      </c>
      <c r="O51" s="7">
        <v>0</v>
      </c>
      <c r="P51" s="7">
        <v>0</v>
      </c>
      <c r="Q51" s="257">
        <f t="shared" si="55"/>
        <v>0</v>
      </c>
      <c r="R51" s="7">
        <v>0</v>
      </c>
      <c r="S51" s="7">
        <v>0</v>
      </c>
      <c r="T51" s="257">
        <f t="shared" si="42"/>
        <v>0</v>
      </c>
      <c r="U51" s="7">
        <v>0</v>
      </c>
      <c r="V51" s="7">
        <v>0</v>
      </c>
      <c r="W51" s="257">
        <f t="shared" si="43"/>
        <v>0</v>
      </c>
      <c r="X51" s="7">
        <v>0</v>
      </c>
      <c r="Y51" s="7">
        <v>0</v>
      </c>
      <c r="Z51" s="257">
        <f t="shared" si="44"/>
        <v>0</v>
      </c>
      <c r="AA51" s="7">
        <v>0</v>
      </c>
      <c r="AB51" s="7">
        <v>0</v>
      </c>
      <c r="AC51" s="257">
        <f t="shared" si="45"/>
        <v>0</v>
      </c>
      <c r="AD51" s="8">
        <f t="shared" si="52"/>
        <v>2173420</v>
      </c>
      <c r="AE51" s="8">
        <f t="shared" si="56"/>
        <v>0</v>
      </c>
      <c r="AF51" s="257">
        <f t="shared" si="57"/>
        <v>2173420</v>
      </c>
      <c r="AG51" s="8">
        <v>2173420</v>
      </c>
      <c r="AH51" s="64">
        <v>0</v>
      </c>
      <c r="AI51" s="257">
        <f t="shared" si="48"/>
        <v>2173420</v>
      </c>
      <c r="AJ51" s="8">
        <v>0</v>
      </c>
      <c r="AK51" s="8">
        <v>0</v>
      </c>
      <c r="AL51" s="64"/>
      <c r="AM51" s="257">
        <f t="shared" si="58"/>
        <v>0</v>
      </c>
      <c r="AN51" s="8">
        <v>0</v>
      </c>
      <c r="AO51" s="64">
        <v>0</v>
      </c>
      <c r="AP51" s="257">
        <f t="shared" si="50"/>
        <v>0</v>
      </c>
      <c r="AQ51" s="170">
        <f t="shared" si="11"/>
        <v>0</v>
      </c>
      <c r="AR51" s="47"/>
    </row>
    <row r="52" spans="2:44" ht="43.9" customHeight="1">
      <c r="B52" s="35" t="s">
        <v>311</v>
      </c>
      <c r="C52" s="353" t="s">
        <v>278</v>
      </c>
      <c r="D52" s="67"/>
      <c r="E52" s="39" t="s">
        <v>284</v>
      </c>
      <c r="F52" s="368"/>
      <c r="G52" s="345">
        <v>2025</v>
      </c>
      <c r="H52" s="345">
        <v>2025</v>
      </c>
      <c r="I52" s="7">
        <v>0</v>
      </c>
      <c r="J52" s="7">
        <v>0</v>
      </c>
      <c r="K52" s="257">
        <f t="shared" si="53"/>
        <v>0</v>
      </c>
      <c r="L52" s="7">
        <v>1800000</v>
      </c>
      <c r="M52" s="147">
        <v>0</v>
      </c>
      <c r="N52" s="257">
        <f t="shared" si="54"/>
        <v>1800000</v>
      </c>
      <c r="O52" s="7">
        <v>0</v>
      </c>
      <c r="P52" s="7">
        <v>0</v>
      </c>
      <c r="Q52" s="257">
        <f t="shared" si="55"/>
        <v>0</v>
      </c>
      <c r="R52" s="7">
        <v>0</v>
      </c>
      <c r="S52" s="7">
        <v>0</v>
      </c>
      <c r="T52" s="257">
        <f t="shared" si="42"/>
        <v>0</v>
      </c>
      <c r="U52" s="7">
        <v>0</v>
      </c>
      <c r="V52" s="7">
        <v>0</v>
      </c>
      <c r="W52" s="257">
        <f t="shared" si="43"/>
        <v>0</v>
      </c>
      <c r="X52" s="7">
        <v>0</v>
      </c>
      <c r="Y52" s="7">
        <v>0</v>
      </c>
      <c r="Z52" s="257">
        <f t="shared" si="44"/>
        <v>0</v>
      </c>
      <c r="AA52" s="7">
        <v>0</v>
      </c>
      <c r="AB52" s="7">
        <v>0</v>
      </c>
      <c r="AC52" s="257">
        <f t="shared" si="45"/>
        <v>0</v>
      </c>
      <c r="AD52" s="8">
        <f t="shared" si="52"/>
        <v>1800000</v>
      </c>
      <c r="AE52" s="8">
        <f t="shared" si="56"/>
        <v>0</v>
      </c>
      <c r="AF52" s="257">
        <f t="shared" si="57"/>
        <v>1800000</v>
      </c>
      <c r="AG52" s="8">
        <v>1800000</v>
      </c>
      <c r="AH52" s="64">
        <v>0</v>
      </c>
      <c r="AI52" s="257">
        <f t="shared" si="48"/>
        <v>1800000</v>
      </c>
      <c r="AJ52" s="8">
        <v>0</v>
      </c>
      <c r="AK52" s="8">
        <v>0</v>
      </c>
      <c r="AL52" s="64"/>
      <c r="AM52" s="257">
        <f t="shared" si="58"/>
        <v>0</v>
      </c>
      <c r="AN52" s="8">
        <v>0</v>
      </c>
      <c r="AO52" s="64">
        <v>0</v>
      </c>
      <c r="AP52" s="257">
        <f t="shared" si="50"/>
        <v>0</v>
      </c>
      <c r="AQ52" s="170">
        <f t="shared" si="11"/>
        <v>0</v>
      </c>
      <c r="AR52" s="47"/>
    </row>
    <row r="53" spans="2:44" ht="37.15" customHeight="1">
      <c r="B53" s="35" t="s">
        <v>312</v>
      </c>
      <c r="C53" s="353" t="s">
        <v>279</v>
      </c>
      <c r="D53" s="67"/>
      <c r="E53" s="39" t="s">
        <v>284</v>
      </c>
      <c r="F53" s="368"/>
      <c r="G53" s="345">
        <v>2025</v>
      </c>
      <c r="H53" s="345">
        <v>2025</v>
      </c>
      <c r="I53" s="7">
        <v>0</v>
      </c>
      <c r="J53" s="7">
        <v>0</v>
      </c>
      <c r="K53" s="257">
        <f t="shared" si="53"/>
        <v>0</v>
      </c>
      <c r="L53" s="7">
        <v>240000</v>
      </c>
      <c r="M53" s="147">
        <v>0</v>
      </c>
      <c r="N53" s="257">
        <f t="shared" si="54"/>
        <v>240000</v>
      </c>
      <c r="O53" s="7">
        <v>0</v>
      </c>
      <c r="P53" s="7">
        <v>0</v>
      </c>
      <c r="Q53" s="257">
        <f t="shared" si="55"/>
        <v>0</v>
      </c>
      <c r="R53" s="7">
        <v>0</v>
      </c>
      <c r="S53" s="7">
        <v>0</v>
      </c>
      <c r="T53" s="257">
        <f t="shared" si="42"/>
        <v>0</v>
      </c>
      <c r="U53" s="7">
        <v>0</v>
      </c>
      <c r="V53" s="7">
        <v>0</v>
      </c>
      <c r="W53" s="257">
        <f t="shared" si="43"/>
        <v>0</v>
      </c>
      <c r="X53" s="7">
        <v>0</v>
      </c>
      <c r="Y53" s="7">
        <v>0</v>
      </c>
      <c r="Z53" s="257">
        <f t="shared" si="44"/>
        <v>0</v>
      </c>
      <c r="AA53" s="7">
        <v>0</v>
      </c>
      <c r="AB53" s="7">
        <v>0</v>
      </c>
      <c r="AC53" s="257">
        <f t="shared" si="45"/>
        <v>0</v>
      </c>
      <c r="AD53" s="8">
        <f t="shared" si="52"/>
        <v>240000</v>
      </c>
      <c r="AE53" s="8">
        <f t="shared" si="56"/>
        <v>0</v>
      </c>
      <c r="AF53" s="257">
        <f t="shared" si="57"/>
        <v>240000</v>
      </c>
      <c r="AG53" s="8">
        <v>240000</v>
      </c>
      <c r="AH53" s="64">
        <v>0</v>
      </c>
      <c r="AI53" s="257">
        <f t="shared" si="48"/>
        <v>240000</v>
      </c>
      <c r="AJ53" s="8">
        <v>0</v>
      </c>
      <c r="AK53" s="8">
        <v>0</v>
      </c>
      <c r="AL53" s="64"/>
      <c r="AM53" s="257">
        <f t="shared" si="58"/>
        <v>0</v>
      </c>
      <c r="AN53" s="8">
        <v>0</v>
      </c>
      <c r="AO53" s="64">
        <v>0</v>
      </c>
      <c r="AP53" s="257">
        <f t="shared" si="50"/>
        <v>0</v>
      </c>
      <c r="AQ53" s="170">
        <f t="shared" si="11"/>
        <v>0</v>
      </c>
      <c r="AR53" s="47"/>
    </row>
    <row r="54" spans="2:44" ht="48.6" customHeight="1">
      <c r="B54" s="35" t="s">
        <v>313</v>
      </c>
      <c r="C54" s="353" t="s">
        <v>280</v>
      </c>
      <c r="D54" s="67"/>
      <c r="E54" s="39" t="s">
        <v>285</v>
      </c>
      <c r="F54" s="368"/>
      <c r="G54" s="345">
        <v>2027</v>
      </c>
      <c r="H54" s="345">
        <v>2027</v>
      </c>
      <c r="I54" s="7">
        <v>0</v>
      </c>
      <c r="J54" s="7">
        <v>0</v>
      </c>
      <c r="K54" s="257">
        <f t="shared" si="53"/>
        <v>0</v>
      </c>
      <c r="L54" s="7">
        <v>0</v>
      </c>
      <c r="M54" s="7">
        <v>0</v>
      </c>
      <c r="N54" s="257">
        <f t="shared" si="54"/>
        <v>0</v>
      </c>
      <c r="O54" s="7">
        <v>0</v>
      </c>
      <c r="P54" s="7">
        <v>0</v>
      </c>
      <c r="Q54" s="257">
        <f t="shared" si="55"/>
        <v>0</v>
      </c>
      <c r="R54" s="8">
        <v>1200000</v>
      </c>
      <c r="S54" s="64">
        <v>0</v>
      </c>
      <c r="T54" s="257">
        <f t="shared" si="42"/>
        <v>1200000</v>
      </c>
      <c r="U54" s="7">
        <v>0</v>
      </c>
      <c r="V54" s="7">
        <v>0</v>
      </c>
      <c r="W54" s="257">
        <f t="shared" si="43"/>
        <v>0</v>
      </c>
      <c r="X54" s="7">
        <v>0</v>
      </c>
      <c r="Y54" s="7">
        <v>0</v>
      </c>
      <c r="Z54" s="257">
        <f t="shared" si="44"/>
        <v>0</v>
      </c>
      <c r="AA54" s="7">
        <v>0</v>
      </c>
      <c r="AB54" s="7">
        <v>0</v>
      </c>
      <c r="AC54" s="257">
        <f t="shared" si="45"/>
        <v>0</v>
      </c>
      <c r="AD54" s="8">
        <f t="shared" si="52"/>
        <v>1200000</v>
      </c>
      <c r="AE54" s="8">
        <f t="shared" si="56"/>
        <v>0</v>
      </c>
      <c r="AF54" s="257">
        <f t="shared" si="57"/>
        <v>1200000</v>
      </c>
      <c r="AG54" s="8">
        <v>0</v>
      </c>
      <c r="AH54" s="64">
        <v>0</v>
      </c>
      <c r="AI54" s="257">
        <f t="shared" si="48"/>
        <v>0</v>
      </c>
      <c r="AJ54" s="8">
        <v>0</v>
      </c>
      <c r="AK54" s="8">
        <v>0</v>
      </c>
      <c r="AL54" s="64"/>
      <c r="AM54" s="257">
        <f t="shared" si="58"/>
        <v>0</v>
      </c>
      <c r="AN54" s="8">
        <v>1200000</v>
      </c>
      <c r="AO54" s="64">
        <v>0</v>
      </c>
      <c r="AP54" s="257">
        <f t="shared" si="50"/>
        <v>1200000</v>
      </c>
      <c r="AQ54" s="170">
        <f t="shared" si="11"/>
        <v>0</v>
      </c>
      <c r="AR54" s="47"/>
    </row>
    <row r="55" spans="2:44" ht="49.15" customHeight="1">
      <c r="B55" s="35" t="s">
        <v>314</v>
      </c>
      <c r="C55" s="353" t="s">
        <v>281</v>
      </c>
      <c r="D55" s="67"/>
      <c r="E55" s="39" t="s">
        <v>284</v>
      </c>
      <c r="F55" s="368"/>
      <c r="G55" s="345">
        <v>2025</v>
      </c>
      <c r="H55" s="345">
        <v>2025</v>
      </c>
      <c r="I55" s="7">
        <v>0</v>
      </c>
      <c r="J55" s="7">
        <v>0</v>
      </c>
      <c r="K55" s="257">
        <f t="shared" si="53"/>
        <v>0</v>
      </c>
      <c r="L55" s="7">
        <v>3260130</v>
      </c>
      <c r="M55" s="147">
        <v>0</v>
      </c>
      <c r="N55" s="257">
        <f t="shared" si="54"/>
        <v>3260130</v>
      </c>
      <c r="O55" s="7">
        <v>0</v>
      </c>
      <c r="P55" s="7">
        <v>0</v>
      </c>
      <c r="Q55" s="257">
        <f t="shared" si="55"/>
        <v>0</v>
      </c>
      <c r="R55" s="7">
        <v>0</v>
      </c>
      <c r="S55" s="7">
        <v>0</v>
      </c>
      <c r="T55" s="257">
        <f t="shared" si="42"/>
        <v>0</v>
      </c>
      <c r="U55" s="7">
        <v>0</v>
      </c>
      <c r="V55" s="7">
        <v>0</v>
      </c>
      <c r="W55" s="257">
        <f t="shared" si="43"/>
        <v>0</v>
      </c>
      <c r="X55" s="7">
        <v>0</v>
      </c>
      <c r="Y55" s="7">
        <v>0</v>
      </c>
      <c r="Z55" s="257">
        <f t="shared" si="44"/>
        <v>0</v>
      </c>
      <c r="AA55" s="7">
        <v>0</v>
      </c>
      <c r="AB55" s="7">
        <v>0</v>
      </c>
      <c r="AC55" s="257">
        <f t="shared" si="45"/>
        <v>0</v>
      </c>
      <c r="AD55" s="8">
        <f t="shared" si="52"/>
        <v>3260130</v>
      </c>
      <c r="AE55" s="8">
        <f t="shared" si="56"/>
        <v>0</v>
      </c>
      <c r="AF55" s="257">
        <f t="shared" si="57"/>
        <v>3260130</v>
      </c>
      <c r="AG55" s="8">
        <v>3260130</v>
      </c>
      <c r="AH55" s="64">
        <v>0</v>
      </c>
      <c r="AI55" s="257">
        <f t="shared" si="48"/>
        <v>3260130</v>
      </c>
      <c r="AJ55" s="8">
        <v>0</v>
      </c>
      <c r="AK55" s="8">
        <v>0</v>
      </c>
      <c r="AL55" s="64"/>
      <c r="AM55" s="257">
        <f t="shared" si="58"/>
        <v>0</v>
      </c>
      <c r="AN55" s="8">
        <v>0</v>
      </c>
      <c r="AO55" s="64">
        <v>0</v>
      </c>
      <c r="AP55" s="257">
        <f t="shared" si="50"/>
        <v>0</v>
      </c>
      <c r="AQ55" s="170">
        <f t="shared" si="11"/>
        <v>0</v>
      </c>
      <c r="AR55" s="47"/>
    </row>
    <row r="56" spans="2:44" ht="90" customHeight="1" thickBot="1">
      <c r="B56" s="210" t="s">
        <v>316</v>
      </c>
      <c r="C56" s="371" t="s">
        <v>1619</v>
      </c>
      <c r="D56" s="184"/>
      <c r="E56" s="201" t="s">
        <v>291</v>
      </c>
      <c r="F56" s="186" t="s">
        <v>286</v>
      </c>
      <c r="G56" s="370">
        <v>2025</v>
      </c>
      <c r="H56" s="370">
        <v>2029</v>
      </c>
      <c r="I56" s="189">
        <f>SUM(I57:I63)</f>
        <v>0</v>
      </c>
      <c r="J56" s="189">
        <f>SUM(J57:J63)</f>
        <v>0</v>
      </c>
      <c r="K56" s="190">
        <f>I56+J56</f>
        <v>0</v>
      </c>
      <c r="L56" s="189">
        <f>SUM(L57:L63)</f>
        <v>3260130</v>
      </c>
      <c r="M56" s="363">
        <f>SUM(M57:M63)</f>
        <v>0</v>
      </c>
      <c r="N56" s="190">
        <f t="shared" si="54"/>
        <v>3260130</v>
      </c>
      <c r="O56" s="189">
        <f>SUM(O57:O63)</f>
        <v>9646970</v>
      </c>
      <c r="P56" s="190">
        <f>SUM(P57:P63)</f>
        <v>0</v>
      </c>
      <c r="Q56" s="190">
        <f t="shared" si="55"/>
        <v>9646970</v>
      </c>
      <c r="R56" s="190">
        <f>SUM(R57:R63)</f>
        <v>0</v>
      </c>
      <c r="S56" s="190">
        <f>SUM(S57:S63)</f>
        <v>0</v>
      </c>
      <c r="T56" s="190">
        <f t="shared" si="42"/>
        <v>0</v>
      </c>
      <c r="U56" s="190">
        <f>SUM(U57:U63)</f>
        <v>1200000</v>
      </c>
      <c r="V56" s="190">
        <f>SUM(V57:V63)</f>
        <v>0</v>
      </c>
      <c r="W56" s="190">
        <f t="shared" si="43"/>
        <v>1200000</v>
      </c>
      <c r="X56" s="190">
        <f>SUM(X57:X63)</f>
        <v>0</v>
      </c>
      <c r="Y56" s="190">
        <f>SUM(Y57:Y63)</f>
        <v>0</v>
      </c>
      <c r="Z56" s="190">
        <f t="shared" si="44"/>
        <v>0</v>
      </c>
      <c r="AA56" s="190">
        <f>SUM(AA57:AA63)</f>
        <v>0</v>
      </c>
      <c r="AB56" s="190">
        <f>SUM(AB57:AB63)</f>
        <v>0</v>
      </c>
      <c r="AC56" s="190">
        <f t="shared" si="45"/>
        <v>0</v>
      </c>
      <c r="AD56" s="190">
        <f t="shared" ref="AD56:AD63" si="59">I56+L56+O56+R56+U56+X56+AA56</f>
        <v>14107100</v>
      </c>
      <c r="AE56" s="190">
        <f>J56+M56+P56+S56+V56+Y56+AB56</f>
        <v>0</v>
      </c>
      <c r="AF56" s="190">
        <f>AD56+AE56</f>
        <v>14107100</v>
      </c>
      <c r="AG56" s="190">
        <f>SUM(AG57:AG63)</f>
        <v>12907100</v>
      </c>
      <c r="AH56" s="190">
        <f>SUM(AH57:AH63)</f>
        <v>0</v>
      </c>
      <c r="AI56" s="190">
        <f>AG56+AH56</f>
        <v>12907100</v>
      </c>
      <c r="AJ56" s="190">
        <f>SUM(AJ57:AJ63)</f>
        <v>0</v>
      </c>
      <c r="AK56" s="190">
        <f>SUM(AK57:AK63)</f>
        <v>0</v>
      </c>
      <c r="AL56" s="190"/>
      <c r="AM56" s="190">
        <f>AJ56+AK56</f>
        <v>0</v>
      </c>
      <c r="AN56" s="190">
        <f>SUM(AN57:AN63)</f>
        <v>1200000</v>
      </c>
      <c r="AO56" s="190">
        <f>SUM(AO57:AO63)</f>
        <v>0</v>
      </c>
      <c r="AP56" s="190">
        <f t="shared" si="50"/>
        <v>1200000</v>
      </c>
      <c r="AQ56" s="211">
        <f t="shared" si="11"/>
        <v>0</v>
      </c>
      <c r="AR56" s="47"/>
    </row>
    <row r="57" spans="2:44" ht="79.900000000000006" customHeight="1">
      <c r="B57" s="35" t="s">
        <v>317</v>
      </c>
      <c r="C57" s="352" t="s">
        <v>1618</v>
      </c>
      <c r="D57" s="67"/>
      <c r="E57" s="323" t="s">
        <v>290</v>
      </c>
      <c r="F57" s="367" t="s">
        <v>286</v>
      </c>
      <c r="G57" s="808">
        <v>2026</v>
      </c>
      <c r="H57" s="808">
        <v>2026</v>
      </c>
      <c r="I57" s="7">
        <v>0</v>
      </c>
      <c r="J57" s="7">
        <v>0</v>
      </c>
      <c r="K57" s="8">
        <f t="shared" ref="K57:K112" si="60">I57+J57</f>
        <v>0</v>
      </c>
      <c r="L57" s="7">
        <v>0</v>
      </c>
      <c r="M57" s="7">
        <v>0</v>
      </c>
      <c r="N57" s="8">
        <f t="shared" si="54"/>
        <v>0</v>
      </c>
      <c r="O57" s="7">
        <v>3260130</v>
      </c>
      <c r="P57" s="8">
        <v>0</v>
      </c>
      <c r="Q57" s="8">
        <f t="shared" si="55"/>
        <v>3260130</v>
      </c>
      <c r="R57" s="7">
        <v>0</v>
      </c>
      <c r="S57" s="7">
        <v>0</v>
      </c>
      <c r="T57" s="8">
        <f t="shared" si="42"/>
        <v>0</v>
      </c>
      <c r="U57" s="7">
        <v>0</v>
      </c>
      <c r="V57" s="7">
        <v>0</v>
      </c>
      <c r="W57" s="8">
        <f t="shared" si="43"/>
        <v>0</v>
      </c>
      <c r="X57" s="7">
        <v>0</v>
      </c>
      <c r="Y57" s="7">
        <v>0</v>
      </c>
      <c r="Z57" s="8">
        <f t="shared" si="44"/>
        <v>0</v>
      </c>
      <c r="AA57" s="7">
        <v>0</v>
      </c>
      <c r="AB57" s="7">
        <v>0</v>
      </c>
      <c r="AC57" s="8">
        <f t="shared" si="45"/>
        <v>0</v>
      </c>
      <c r="AD57" s="8">
        <f t="shared" si="59"/>
        <v>3260130</v>
      </c>
      <c r="AE57" s="8">
        <f t="shared" ref="AE57:AE63" si="61">J57+M57+P57+S57+V57+Y57+AB57</f>
        <v>0</v>
      </c>
      <c r="AF57" s="8">
        <f t="shared" ref="AF57:AF63" si="62">AD57+AE57</f>
        <v>3260130</v>
      </c>
      <c r="AG57" s="8">
        <v>3260130</v>
      </c>
      <c r="AH57" s="8">
        <v>0</v>
      </c>
      <c r="AI57" s="8">
        <f t="shared" ref="AI57:AI112" si="63">AG57+AH57</f>
        <v>3260130</v>
      </c>
      <c r="AJ57" s="8">
        <v>0</v>
      </c>
      <c r="AK57" s="8">
        <v>0</v>
      </c>
      <c r="AL57" s="8"/>
      <c r="AM57" s="8">
        <f t="shared" ref="AM57:AM59" si="64">AJ57+AK57</f>
        <v>0</v>
      </c>
      <c r="AN57" s="8">
        <v>0</v>
      </c>
      <c r="AO57" s="8">
        <v>0</v>
      </c>
      <c r="AP57" s="8">
        <f t="shared" si="50"/>
        <v>0</v>
      </c>
      <c r="AQ57" s="299">
        <f t="shared" si="11"/>
        <v>0</v>
      </c>
      <c r="AR57" s="47"/>
    </row>
    <row r="58" spans="2:44" ht="50.45" customHeight="1">
      <c r="B58" s="35" t="s">
        <v>318</v>
      </c>
      <c r="C58" s="353" t="s">
        <v>276</v>
      </c>
      <c r="D58" s="67"/>
      <c r="E58" s="39" t="s">
        <v>284</v>
      </c>
      <c r="F58" s="368"/>
      <c r="G58" s="345">
        <v>2026</v>
      </c>
      <c r="H58" s="345">
        <v>2026</v>
      </c>
      <c r="I58" s="7">
        <v>0</v>
      </c>
      <c r="J58" s="7">
        <v>0</v>
      </c>
      <c r="K58" s="257">
        <f t="shared" si="60"/>
        <v>0</v>
      </c>
      <c r="L58" s="7">
        <v>0</v>
      </c>
      <c r="M58" s="7">
        <v>0</v>
      </c>
      <c r="N58" s="257">
        <f t="shared" si="54"/>
        <v>0</v>
      </c>
      <c r="O58" s="7">
        <v>2173420</v>
      </c>
      <c r="P58" s="64">
        <v>0</v>
      </c>
      <c r="Q58" s="257">
        <f t="shared" si="55"/>
        <v>2173420</v>
      </c>
      <c r="R58" s="7">
        <v>0</v>
      </c>
      <c r="S58" s="7">
        <v>0</v>
      </c>
      <c r="T58" s="257">
        <f t="shared" si="42"/>
        <v>0</v>
      </c>
      <c r="U58" s="7">
        <v>0</v>
      </c>
      <c r="V58" s="7">
        <v>0</v>
      </c>
      <c r="W58" s="257">
        <f t="shared" si="43"/>
        <v>0</v>
      </c>
      <c r="X58" s="7">
        <v>0</v>
      </c>
      <c r="Y58" s="7">
        <v>0</v>
      </c>
      <c r="Z58" s="257">
        <f t="shared" si="44"/>
        <v>0</v>
      </c>
      <c r="AA58" s="7">
        <v>0</v>
      </c>
      <c r="AB58" s="7">
        <v>0</v>
      </c>
      <c r="AC58" s="257">
        <f t="shared" si="45"/>
        <v>0</v>
      </c>
      <c r="AD58" s="8">
        <f t="shared" si="59"/>
        <v>2173420</v>
      </c>
      <c r="AE58" s="8">
        <f t="shared" si="61"/>
        <v>0</v>
      </c>
      <c r="AF58" s="257">
        <f t="shared" si="62"/>
        <v>2173420</v>
      </c>
      <c r="AG58" s="8">
        <v>2173420</v>
      </c>
      <c r="AH58" s="64">
        <v>0</v>
      </c>
      <c r="AI58" s="257">
        <f t="shared" si="63"/>
        <v>2173420</v>
      </c>
      <c r="AJ58" s="64">
        <v>0</v>
      </c>
      <c r="AK58" s="64">
        <v>0</v>
      </c>
      <c r="AL58" s="64"/>
      <c r="AM58" s="257">
        <f t="shared" si="64"/>
        <v>0</v>
      </c>
      <c r="AN58" s="64">
        <v>0</v>
      </c>
      <c r="AO58" s="64">
        <v>0</v>
      </c>
      <c r="AP58" s="257">
        <f t="shared" si="50"/>
        <v>0</v>
      </c>
      <c r="AQ58" s="170">
        <f t="shared" si="11"/>
        <v>0</v>
      </c>
      <c r="AR58" s="47"/>
    </row>
    <row r="59" spans="2:44" ht="40.15" customHeight="1">
      <c r="B59" s="35" t="s">
        <v>319</v>
      </c>
      <c r="C59" s="353" t="s">
        <v>277</v>
      </c>
      <c r="D59" s="67"/>
      <c r="E59" s="39" t="s">
        <v>284</v>
      </c>
      <c r="F59" s="368"/>
      <c r="G59" s="345">
        <v>2026</v>
      </c>
      <c r="H59" s="345">
        <v>2026</v>
      </c>
      <c r="I59" s="7">
        <v>0</v>
      </c>
      <c r="J59" s="7">
        <v>0</v>
      </c>
      <c r="K59" s="257">
        <f t="shared" si="60"/>
        <v>0</v>
      </c>
      <c r="L59" s="7">
        <v>0</v>
      </c>
      <c r="M59" s="7">
        <v>0</v>
      </c>
      <c r="N59" s="257">
        <f t="shared" si="54"/>
        <v>0</v>
      </c>
      <c r="O59" s="7">
        <v>2173420</v>
      </c>
      <c r="P59" s="64">
        <v>0</v>
      </c>
      <c r="Q59" s="257">
        <f t="shared" si="55"/>
        <v>2173420</v>
      </c>
      <c r="R59" s="7">
        <v>0</v>
      </c>
      <c r="S59" s="7">
        <v>0</v>
      </c>
      <c r="T59" s="257">
        <f t="shared" si="42"/>
        <v>0</v>
      </c>
      <c r="U59" s="7">
        <v>0</v>
      </c>
      <c r="V59" s="7">
        <v>0</v>
      </c>
      <c r="W59" s="257">
        <f t="shared" si="43"/>
        <v>0</v>
      </c>
      <c r="X59" s="7">
        <v>0</v>
      </c>
      <c r="Y59" s="7">
        <v>0</v>
      </c>
      <c r="Z59" s="257">
        <f t="shared" si="44"/>
        <v>0</v>
      </c>
      <c r="AA59" s="7">
        <v>0</v>
      </c>
      <c r="AB59" s="7">
        <v>0</v>
      </c>
      <c r="AC59" s="257">
        <f t="shared" si="45"/>
        <v>0</v>
      </c>
      <c r="AD59" s="8">
        <f t="shared" si="59"/>
        <v>2173420</v>
      </c>
      <c r="AE59" s="8">
        <f t="shared" si="61"/>
        <v>0</v>
      </c>
      <c r="AF59" s="257">
        <f t="shared" si="62"/>
        <v>2173420</v>
      </c>
      <c r="AG59" s="8">
        <v>2173420</v>
      </c>
      <c r="AH59" s="64">
        <v>0</v>
      </c>
      <c r="AI59" s="257">
        <f t="shared" si="63"/>
        <v>2173420</v>
      </c>
      <c r="AJ59" s="64">
        <v>0</v>
      </c>
      <c r="AK59" s="64">
        <v>0</v>
      </c>
      <c r="AL59" s="64"/>
      <c r="AM59" s="257">
        <f t="shared" si="64"/>
        <v>0</v>
      </c>
      <c r="AN59" s="64">
        <v>0</v>
      </c>
      <c r="AO59" s="64">
        <v>0</v>
      </c>
      <c r="AP59" s="257">
        <f t="shared" si="50"/>
        <v>0</v>
      </c>
      <c r="AQ59" s="170">
        <f t="shared" si="11"/>
        <v>0</v>
      </c>
      <c r="AR59" s="47"/>
    </row>
    <row r="60" spans="2:44" ht="43.15" customHeight="1">
      <c r="B60" s="35" t="s">
        <v>320</v>
      </c>
      <c r="C60" s="353" t="s">
        <v>278</v>
      </c>
      <c r="D60" s="67"/>
      <c r="E60" s="39" t="s">
        <v>284</v>
      </c>
      <c r="F60" s="368"/>
      <c r="G60" s="345">
        <v>2026</v>
      </c>
      <c r="H60" s="345">
        <v>2026</v>
      </c>
      <c r="I60" s="7">
        <v>0</v>
      </c>
      <c r="J60" s="7">
        <v>0</v>
      </c>
      <c r="K60" s="257">
        <f t="shared" si="60"/>
        <v>0</v>
      </c>
      <c r="L60" s="7">
        <v>0</v>
      </c>
      <c r="M60" s="7">
        <v>0</v>
      </c>
      <c r="N60" s="257">
        <f t="shared" si="54"/>
        <v>0</v>
      </c>
      <c r="O60" s="7">
        <v>1800000</v>
      </c>
      <c r="P60" s="64">
        <v>0</v>
      </c>
      <c r="Q60" s="257">
        <f t="shared" si="55"/>
        <v>1800000</v>
      </c>
      <c r="R60" s="7">
        <v>0</v>
      </c>
      <c r="S60" s="7">
        <v>0</v>
      </c>
      <c r="T60" s="257">
        <f t="shared" si="42"/>
        <v>0</v>
      </c>
      <c r="U60" s="7">
        <v>0</v>
      </c>
      <c r="V60" s="7">
        <v>0</v>
      </c>
      <c r="W60" s="257">
        <f t="shared" si="43"/>
        <v>0</v>
      </c>
      <c r="X60" s="7">
        <v>0</v>
      </c>
      <c r="Y60" s="7">
        <v>0</v>
      </c>
      <c r="Z60" s="257">
        <f t="shared" si="44"/>
        <v>0</v>
      </c>
      <c r="AA60" s="7">
        <v>0</v>
      </c>
      <c r="AB60" s="7">
        <v>0</v>
      </c>
      <c r="AC60" s="257">
        <f t="shared" si="45"/>
        <v>0</v>
      </c>
      <c r="AD60" s="8">
        <f t="shared" si="59"/>
        <v>1800000</v>
      </c>
      <c r="AE60" s="8">
        <f t="shared" si="61"/>
        <v>0</v>
      </c>
      <c r="AF60" s="257">
        <f t="shared" si="62"/>
        <v>1800000</v>
      </c>
      <c r="AG60" s="8">
        <v>1800000</v>
      </c>
      <c r="AH60" s="64">
        <v>0</v>
      </c>
      <c r="AI60" s="257">
        <f t="shared" si="63"/>
        <v>1800000</v>
      </c>
      <c r="AJ60" s="64">
        <v>0</v>
      </c>
      <c r="AK60" s="64">
        <v>0</v>
      </c>
      <c r="AL60" s="64"/>
      <c r="AM60" s="257">
        <f t="shared" ref="AM60:AM63" si="65">AJ60+AK60</f>
        <v>0</v>
      </c>
      <c r="AN60" s="64">
        <v>0</v>
      </c>
      <c r="AO60" s="64">
        <v>0</v>
      </c>
      <c r="AP60" s="257">
        <f t="shared" si="50"/>
        <v>0</v>
      </c>
      <c r="AQ60" s="170">
        <f t="shared" si="11"/>
        <v>0</v>
      </c>
      <c r="AR60" s="47"/>
    </row>
    <row r="61" spans="2:44" ht="35.450000000000003" customHeight="1">
      <c r="B61" s="35" t="s">
        <v>321</v>
      </c>
      <c r="C61" s="353" t="s">
        <v>279</v>
      </c>
      <c r="D61" s="67"/>
      <c r="E61" s="39" t="s">
        <v>284</v>
      </c>
      <c r="F61" s="368"/>
      <c r="G61" s="345">
        <v>2026</v>
      </c>
      <c r="H61" s="345">
        <v>2026</v>
      </c>
      <c r="I61" s="7">
        <v>0</v>
      </c>
      <c r="J61" s="7">
        <v>0</v>
      </c>
      <c r="K61" s="257">
        <f t="shared" si="60"/>
        <v>0</v>
      </c>
      <c r="L61" s="7">
        <v>0</v>
      </c>
      <c r="M61" s="7">
        <v>0</v>
      </c>
      <c r="N61" s="257">
        <f t="shared" si="54"/>
        <v>0</v>
      </c>
      <c r="O61" s="7">
        <v>240000</v>
      </c>
      <c r="P61" s="64">
        <v>0</v>
      </c>
      <c r="Q61" s="257">
        <f t="shared" si="55"/>
        <v>240000</v>
      </c>
      <c r="R61" s="7">
        <v>0</v>
      </c>
      <c r="S61" s="7">
        <v>0</v>
      </c>
      <c r="T61" s="257">
        <f t="shared" si="42"/>
        <v>0</v>
      </c>
      <c r="U61" s="7">
        <v>0</v>
      </c>
      <c r="V61" s="7">
        <v>0</v>
      </c>
      <c r="W61" s="257">
        <f t="shared" si="43"/>
        <v>0</v>
      </c>
      <c r="X61" s="7">
        <v>0</v>
      </c>
      <c r="Y61" s="7">
        <v>0</v>
      </c>
      <c r="Z61" s="257">
        <f t="shared" si="44"/>
        <v>0</v>
      </c>
      <c r="AA61" s="7">
        <v>0</v>
      </c>
      <c r="AB61" s="7">
        <v>0</v>
      </c>
      <c r="AC61" s="257">
        <f t="shared" si="45"/>
        <v>0</v>
      </c>
      <c r="AD61" s="8">
        <f t="shared" si="59"/>
        <v>240000</v>
      </c>
      <c r="AE61" s="8">
        <f t="shared" si="61"/>
        <v>0</v>
      </c>
      <c r="AF61" s="257">
        <f t="shared" si="62"/>
        <v>240000</v>
      </c>
      <c r="AG61" s="8">
        <v>240000</v>
      </c>
      <c r="AH61" s="64">
        <v>0</v>
      </c>
      <c r="AI61" s="257">
        <f t="shared" si="63"/>
        <v>240000</v>
      </c>
      <c r="AJ61" s="64">
        <v>0</v>
      </c>
      <c r="AK61" s="64">
        <v>0</v>
      </c>
      <c r="AL61" s="64"/>
      <c r="AM61" s="257">
        <f t="shared" si="65"/>
        <v>0</v>
      </c>
      <c r="AN61" s="64">
        <v>0</v>
      </c>
      <c r="AO61" s="64">
        <v>0</v>
      </c>
      <c r="AP61" s="257">
        <f t="shared" si="50"/>
        <v>0</v>
      </c>
      <c r="AQ61" s="170">
        <f t="shared" si="11"/>
        <v>0</v>
      </c>
      <c r="AR61" s="47"/>
    </row>
    <row r="62" spans="2:44" ht="31.15" customHeight="1">
      <c r="B62" s="35" t="s">
        <v>322</v>
      </c>
      <c r="C62" s="353" t="s">
        <v>280</v>
      </c>
      <c r="D62" s="67"/>
      <c r="E62" s="39" t="s">
        <v>285</v>
      </c>
      <c r="F62" s="368"/>
      <c r="G62" s="345">
        <v>2028</v>
      </c>
      <c r="H62" s="345">
        <v>2028</v>
      </c>
      <c r="I62" s="7">
        <v>0</v>
      </c>
      <c r="J62" s="7">
        <v>0</v>
      </c>
      <c r="K62" s="257">
        <f t="shared" si="60"/>
        <v>0</v>
      </c>
      <c r="L62" s="7">
        <v>0</v>
      </c>
      <c r="M62" s="7">
        <v>0</v>
      </c>
      <c r="N62" s="257">
        <f t="shared" si="54"/>
        <v>0</v>
      </c>
      <c r="O62" s="7">
        <v>0</v>
      </c>
      <c r="P62" s="7">
        <v>0</v>
      </c>
      <c r="Q62" s="257">
        <f t="shared" si="55"/>
        <v>0</v>
      </c>
      <c r="R62" s="7">
        <v>0</v>
      </c>
      <c r="S62" s="7">
        <v>0</v>
      </c>
      <c r="T62" s="257">
        <f t="shared" si="42"/>
        <v>0</v>
      </c>
      <c r="U62" s="8">
        <v>1200000</v>
      </c>
      <c r="V62" s="64">
        <v>0</v>
      </c>
      <c r="W62" s="257">
        <f t="shared" si="43"/>
        <v>1200000</v>
      </c>
      <c r="X62" s="7">
        <v>0</v>
      </c>
      <c r="Y62" s="7">
        <v>0</v>
      </c>
      <c r="Z62" s="257">
        <f t="shared" si="44"/>
        <v>0</v>
      </c>
      <c r="AA62" s="7">
        <v>0</v>
      </c>
      <c r="AB62" s="7">
        <v>0</v>
      </c>
      <c r="AC62" s="257">
        <f t="shared" si="45"/>
        <v>0</v>
      </c>
      <c r="AD62" s="8">
        <f t="shared" si="59"/>
        <v>1200000</v>
      </c>
      <c r="AE62" s="8">
        <f t="shared" si="61"/>
        <v>0</v>
      </c>
      <c r="AF62" s="257">
        <f t="shared" si="62"/>
        <v>1200000</v>
      </c>
      <c r="AG62" s="8">
        <v>0</v>
      </c>
      <c r="AH62" s="64">
        <v>0</v>
      </c>
      <c r="AI62" s="257">
        <f t="shared" si="63"/>
        <v>0</v>
      </c>
      <c r="AJ62" s="64">
        <v>0</v>
      </c>
      <c r="AK62" s="64">
        <v>0</v>
      </c>
      <c r="AL62" s="64"/>
      <c r="AM62" s="257">
        <f t="shared" si="65"/>
        <v>0</v>
      </c>
      <c r="AN62" s="8">
        <v>1200000</v>
      </c>
      <c r="AO62" s="64">
        <v>0</v>
      </c>
      <c r="AP62" s="257">
        <f t="shared" si="50"/>
        <v>1200000</v>
      </c>
      <c r="AQ62" s="170">
        <f t="shared" si="11"/>
        <v>0</v>
      </c>
      <c r="AR62" s="47"/>
    </row>
    <row r="63" spans="2:44" ht="36.6" customHeight="1">
      <c r="B63" s="35" t="s">
        <v>323</v>
      </c>
      <c r="C63" s="353" t="s">
        <v>281</v>
      </c>
      <c r="D63" s="67"/>
      <c r="E63" s="39" t="s">
        <v>284</v>
      </c>
      <c r="F63" s="368"/>
      <c r="G63" s="345">
        <v>2025</v>
      </c>
      <c r="H63" s="345">
        <v>2025</v>
      </c>
      <c r="I63" s="7">
        <v>0</v>
      </c>
      <c r="J63" s="7">
        <v>0</v>
      </c>
      <c r="K63" s="257">
        <f t="shared" si="60"/>
        <v>0</v>
      </c>
      <c r="L63" s="7">
        <v>3260130</v>
      </c>
      <c r="M63" s="147">
        <v>0</v>
      </c>
      <c r="N63" s="257">
        <f t="shared" si="54"/>
        <v>3260130</v>
      </c>
      <c r="O63" s="7">
        <v>0</v>
      </c>
      <c r="P63" s="7">
        <v>0</v>
      </c>
      <c r="Q63" s="257">
        <f t="shared" si="55"/>
        <v>0</v>
      </c>
      <c r="R63" s="7">
        <v>0</v>
      </c>
      <c r="S63" s="7">
        <v>0</v>
      </c>
      <c r="T63" s="257">
        <f t="shared" si="42"/>
        <v>0</v>
      </c>
      <c r="U63" s="7">
        <v>0</v>
      </c>
      <c r="V63" s="7">
        <v>0</v>
      </c>
      <c r="W63" s="257">
        <f t="shared" si="43"/>
        <v>0</v>
      </c>
      <c r="X63" s="7">
        <v>0</v>
      </c>
      <c r="Y63" s="7">
        <v>0</v>
      </c>
      <c r="Z63" s="257">
        <f t="shared" si="44"/>
        <v>0</v>
      </c>
      <c r="AA63" s="7">
        <v>0</v>
      </c>
      <c r="AB63" s="7">
        <v>0</v>
      </c>
      <c r="AC63" s="257">
        <f t="shared" si="45"/>
        <v>0</v>
      </c>
      <c r="AD63" s="8">
        <f t="shared" si="59"/>
        <v>3260130</v>
      </c>
      <c r="AE63" s="8">
        <f t="shared" si="61"/>
        <v>0</v>
      </c>
      <c r="AF63" s="257">
        <f t="shared" si="62"/>
        <v>3260130</v>
      </c>
      <c r="AG63" s="8">
        <v>3260130</v>
      </c>
      <c r="AH63" s="64">
        <v>0</v>
      </c>
      <c r="AI63" s="257">
        <f t="shared" si="63"/>
        <v>3260130</v>
      </c>
      <c r="AJ63" s="64">
        <v>0</v>
      </c>
      <c r="AK63" s="64">
        <v>0</v>
      </c>
      <c r="AL63" s="64"/>
      <c r="AM63" s="257">
        <f t="shared" si="65"/>
        <v>0</v>
      </c>
      <c r="AN63" s="64">
        <v>0</v>
      </c>
      <c r="AO63" s="64">
        <v>0</v>
      </c>
      <c r="AP63" s="257">
        <f t="shared" si="50"/>
        <v>0</v>
      </c>
      <c r="AQ63" s="170">
        <f t="shared" si="11"/>
        <v>0</v>
      </c>
      <c r="AR63" s="47"/>
    </row>
    <row r="64" spans="2:44" ht="90" customHeight="1" thickBot="1">
      <c r="B64" s="210" t="s">
        <v>324</v>
      </c>
      <c r="C64" s="374" t="s">
        <v>335</v>
      </c>
      <c r="D64" s="184"/>
      <c r="E64" s="201" t="s">
        <v>1627</v>
      </c>
      <c r="F64" s="369"/>
      <c r="G64" s="343">
        <v>2025</v>
      </c>
      <c r="H64" s="343">
        <v>2029</v>
      </c>
      <c r="I64" s="189">
        <f>SUM(I65:I75)</f>
        <v>3260130</v>
      </c>
      <c r="J64" s="189">
        <f>SUM(J65:J75)</f>
        <v>0</v>
      </c>
      <c r="K64" s="190">
        <f t="shared" si="60"/>
        <v>3260130</v>
      </c>
      <c r="L64" s="189">
        <f>SUM(L65:L75)</f>
        <v>13280520</v>
      </c>
      <c r="M64" s="363">
        <f>SUM(M65:M75)</f>
        <v>0</v>
      </c>
      <c r="N64" s="190">
        <f t="shared" si="54"/>
        <v>13280520</v>
      </c>
      <c r="O64" s="189">
        <f>SUM(O65:O75)</f>
        <v>11107100</v>
      </c>
      <c r="P64" s="190">
        <f>SUM(P65:P75)</f>
        <v>0</v>
      </c>
      <c r="Q64" s="190">
        <f t="shared" si="55"/>
        <v>11107100</v>
      </c>
      <c r="R64" s="190">
        <f>SUM(R65:R75)</f>
        <v>10020390</v>
      </c>
      <c r="S64" s="190">
        <f>SUM(S65:S75)</f>
        <v>0</v>
      </c>
      <c r="T64" s="190">
        <f t="shared" si="42"/>
        <v>10020390</v>
      </c>
      <c r="U64" s="190">
        <f>SUM(U65:U75)</f>
        <v>11220390</v>
      </c>
      <c r="V64" s="190">
        <f>SUM(V65:V75)</f>
        <v>0</v>
      </c>
      <c r="W64" s="190">
        <f t="shared" si="43"/>
        <v>11220390</v>
      </c>
      <c r="X64" s="190">
        <f>SUM(X65:X75)</f>
        <v>10020390</v>
      </c>
      <c r="Y64" s="190">
        <f>SUM(Y65:Y75)</f>
        <v>0</v>
      </c>
      <c r="Z64" s="190">
        <f t="shared" si="44"/>
        <v>10020390</v>
      </c>
      <c r="AA64" s="190">
        <f>SUM(AA65:AA75)</f>
        <v>10020390</v>
      </c>
      <c r="AB64" s="190">
        <f>SUM(AB65:AB75)</f>
        <v>0</v>
      </c>
      <c r="AC64" s="190">
        <f t="shared" si="45"/>
        <v>10020390</v>
      </c>
      <c r="AD64" s="190">
        <f t="shared" ref="AD64:AD75" si="66">I64+L64+O64+R64+U64+X64+AA64</f>
        <v>68929310</v>
      </c>
      <c r="AE64" s="190">
        <f>J64+M64+P64+S64+V64+Y64+AB64</f>
        <v>0</v>
      </c>
      <c r="AF64" s="190">
        <f>AD64+AE64</f>
        <v>68929310</v>
      </c>
      <c r="AG64" s="190">
        <f>SUM(AG65:AG75)</f>
        <v>27647750</v>
      </c>
      <c r="AH64" s="190">
        <f>SUM(AH65:AH75)</f>
        <v>0</v>
      </c>
      <c r="AI64" s="190">
        <f t="shared" si="63"/>
        <v>27647750</v>
      </c>
      <c r="AJ64" s="190">
        <f>SUM(AJ65:AJ75)</f>
        <v>0</v>
      </c>
      <c r="AK64" s="190">
        <f>SUM(AK65:AK75)</f>
        <v>0</v>
      </c>
      <c r="AL64" s="190"/>
      <c r="AM64" s="190">
        <f>AJ64+AK64</f>
        <v>0</v>
      </c>
      <c r="AN64" s="190">
        <f>SUM(AN65:AN75)</f>
        <v>41281560</v>
      </c>
      <c r="AO64" s="190">
        <f>SUM(AO65:AO75)</f>
        <v>0</v>
      </c>
      <c r="AP64" s="190">
        <f t="shared" si="50"/>
        <v>41281560</v>
      </c>
      <c r="AQ64" s="211">
        <f t="shared" si="11"/>
        <v>0</v>
      </c>
      <c r="AR64" s="47"/>
    </row>
    <row r="65" spans="2:44" ht="90" customHeight="1" thickBot="1">
      <c r="B65" s="35" t="s">
        <v>325</v>
      </c>
      <c r="C65" s="375" t="s">
        <v>1625</v>
      </c>
      <c r="D65" s="67"/>
      <c r="E65" s="323" t="s">
        <v>1627</v>
      </c>
      <c r="F65" s="803"/>
      <c r="G65" s="804">
        <v>2025</v>
      </c>
      <c r="H65" s="804">
        <v>2030</v>
      </c>
      <c r="I65" s="7">
        <v>0</v>
      </c>
      <c r="J65" s="7">
        <v>0</v>
      </c>
      <c r="K65" s="8">
        <f t="shared" si="60"/>
        <v>0</v>
      </c>
      <c r="L65" s="7">
        <v>1086710</v>
      </c>
      <c r="M65" s="147">
        <v>0</v>
      </c>
      <c r="N65" s="8">
        <f t="shared" si="54"/>
        <v>1086710</v>
      </c>
      <c r="O65" s="7">
        <v>1086710</v>
      </c>
      <c r="P65" s="147">
        <v>0</v>
      </c>
      <c r="Q65" s="8">
        <f t="shared" si="55"/>
        <v>1086710</v>
      </c>
      <c r="R65" s="7">
        <v>1086710</v>
      </c>
      <c r="S65" s="147">
        <v>0</v>
      </c>
      <c r="T65" s="8">
        <f t="shared" si="42"/>
        <v>1086710</v>
      </c>
      <c r="U65" s="7">
        <v>1086710</v>
      </c>
      <c r="V65" s="147">
        <v>0</v>
      </c>
      <c r="W65" s="8">
        <f t="shared" si="43"/>
        <v>1086710</v>
      </c>
      <c r="X65" s="7">
        <v>1086710</v>
      </c>
      <c r="Y65" s="147">
        <v>0</v>
      </c>
      <c r="Z65" s="8">
        <f t="shared" si="44"/>
        <v>1086710</v>
      </c>
      <c r="AA65" s="7">
        <v>1086710</v>
      </c>
      <c r="AB65" s="147">
        <v>0</v>
      </c>
      <c r="AC65" s="8">
        <f t="shared" si="45"/>
        <v>1086710</v>
      </c>
      <c r="AD65" s="8">
        <f t="shared" si="66"/>
        <v>6520260</v>
      </c>
      <c r="AE65" s="8">
        <f t="shared" ref="AE65:AE75" si="67">J65+M65+P65+S65+V65+Y65+AB65</f>
        <v>0</v>
      </c>
      <c r="AF65" s="8">
        <f t="shared" ref="AF65:AF75" si="68">AD65+AE65</f>
        <v>6520260</v>
      </c>
      <c r="AG65" s="8">
        <f>1086710*2</f>
        <v>2173420</v>
      </c>
      <c r="AH65" s="8">
        <v>0</v>
      </c>
      <c r="AI65" s="8">
        <f t="shared" si="63"/>
        <v>2173420</v>
      </c>
      <c r="AJ65" s="8">
        <v>0</v>
      </c>
      <c r="AK65" s="8">
        <v>0</v>
      </c>
      <c r="AL65" s="8"/>
      <c r="AM65" s="8">
        <f t="shared" ref="AM65:AM66" si="69">AJ65+AK65</f>
        <v>0</v>
      </c>
      <c r="AN65" s="8">
        <f>1086710*4</f>
        <v>4346840</v>
      </c>
      <c r="AO65" s="8">
        <v>0</v>
      </c>
      <c r="AP65" s="8">
        <f t="shared" si="50"/>
        <v>4346840</v>
      </c>
      <c r="AQ65" s="299">
        <f t="shared" si="11"/>
        <v>0</v>
      </c>
      <c r="AR65" s="47"/>
    </row>
    <row r="66" spans="2:44" ht="90" customHeight="1" thickBot="1">
      <c r="B66" s="35" t="s">
        <v>326</v>
      </c>
      <c r="C66" s="353" t="s">
        <v>336</v>
      </c>
      <c r="D66" s="67"/>
      <c r="E66" s="323" t="s">
        <v>1626</v>
      </c>
      <c r="F66" s="805"/>
      <c r="G66" s="804">
        <v>2025</v>
      </c>
      <c r="H66" s="804">
        <v>2030</v>
      </c>
      <c r="I66" s="7">
        <v>0</v>
      </c>
      <c r="J66" s="7">
        <v>0</v>
      </c>
      <c r="K66" s="8">
        <f t="shared" si="60"/>
        <v>0</v>
      </c>
      <c r="L66" s="7">
        <v>2173420</v>
      </c>
      <c r="M66" s="147">
        <v>0</v>
      </c>
      <c r="N66" s="8">
        <f t="shared" si="54"/>
        <v>2173420</v>
      </c>
      <c r="O66" s="7">
        <v>2173420</v>
      </c>
      <c r="P66" s="147">
        <v>0</v>
      </c>
      <c r="Q66" s="8">
        <f t="shared" si="55"/>
        <v>2173420</v>
      </c>
      <c r="R66" s="7">
        <v>2173420</v>
      </c>
      <c r="S66" s="147">
        <v>0</v>
      </c>
      <c r="T66" s="8">
        <f t="shared" si="42"/>
        <v>2173420</v>
      </c>
      <c r="U66" s="7">
        <v>2173420</v>
      </c>
      <c r="V66" s="147">
        <v>0</v>
      </c>
      <c r="W66" s="8">
        <f t="shared" si="43"/>
        <v>2173420</v>
      </c>
      <c r="X66" s="7">
        <v>2173420</v>
      </c>
      <c r="Y66" s="147">
        <v>0</v>
      </c>
      <c r="Z66" s="8">
        <f t="shared" si="44"/>
        <v>2173420</v>
      </c>
      <c r="AA66" s="7">
        <v>2173420</v>
      </c>
      <c r="AB66" s="147">
        <v>0</v>
      </c>
      <c r="AC66" s="8">
        <f t="shared" si="45"/>
        <v>2173420</v>
      </c>
      <c r="AD66" s="8">
        <f t="shared" si="66"/>
        <v>13040520</v>
      </c>
      <c r="AE66" s="8">
        <f t="shared" si="67"/>
        <v>0</v>
      </c>
      <c r="AF66" s="8">
        <f t="shared" si="68"/>
        <v>13040520</v>
      </c>
      <c r="AG66" s="8">
        <f>2173420*2</f>
        <v>4346840</v>
      </c>
      <c r="AH66" s="8">
        <v>0</v>
      </c>
      <c r="AI66" s="8">
        <f t="shared" si="63"/>
        <v>4346840</v>
      </c>
      <c r="AJ66" s="8">
        <v>0</v>
      </c>
      <c r="AK66" s="8">
        <v>0</v>
      </c>
      <c r="AL66" s="8"/>
      <c r="AM66" s="8">
        <f t="shared" si="69"/>
        <v>0</v>
      </c>
      <c r="AN66" s="8">
        <f>2173420*4</f>
        <v>8693680</v>
      </c>
      <c r="AO66" s="8">
        <v>0</v>
      </c>
      <c r="AP66" s="8">
        <f t="shared" si="50"/>
        <v>8693680</v>
      </c>
      <c r="AQ66" s="299">
        <f t="shared" si="11"/>
        <v>0</v>
      </c>
      <c r="AR66" s="47"/>
    </row>
    <row r="67" spans="2:44" ht="90" customHeight="1" thickBot="1">
      <c r="B67" s="35" t="s">
        <v>327</v>
      </c>
      <c r="C67" s="353" t="s">
        <v>337</v>
      </c>
      <c r="D67" s="67"/>
      <c r="E67" s="323" t="s">
        <v>1626</v>
      </c>
      <c r="F67" s="806"/>
      <c r="G67" s="804">
        <v>2025</v>
      </c>
      <c r="H67" s="804">
        <v>2030</v>
      </c>
      <c r="I67" s="7">
        <v>0</v>
      </c>
      <c r="J67" s="7">
        <v>0</v>
      </c>
      <c r="K67" s="8">
        <f t="shared" si="60"/>
        <v>0</v>
      </c>
      <c r="L67" s="7">
        <v>1086710</v>
      </c>
      <c r="M67" s="147">
        <v>0</v>
      </c>
      <c r="N67" s="8">
        <f t="shared" si="54"/>
        <v>1086710</v>
      </c>
      <c r="O67" s="7">
        <v>1086710</v>
      </c>
      <c r="P67" s="147">
        <v>0</v>
      </c>
      <c r="Q67" s="8">
        <f t="shared" si="55"/>
        <v>1086710</v>
      </c>
      <c r="R67" s="7">
        <v>1086710</v>
      </c>
      <c r="S67" s="147">
        <v>0</v>
      </c>
      <c r="T67" s="8">
        <f t="shared" si="42"/>
        <v>1086710</v>
      </c>
      <c r="U67" s="7">
        <v>1086710</v>
      </c>
      <c r="V67" s="147">
        <v>0</v>
      </c>
      <c r="W67" s="8">
        <f t="shared" si="43"/>
        <v>1086710</v>
      </c>
      <c r="X67" s="7">
        <v>1086710</v>
      </c>
      <c r="Y67" s="147">
        <v>0</v>
      </c>
      <c r="Z67" s="8">
        <f t="shared" si="44"/>
        <v>1086710</v>
      </c>
      <c r="AA67" s="7">
        <v>1086710</v>
      </c>
      <c r="AB67" s="147">
        <v>0</v>
      </c>
      <c r="AC67" s="8">
        <f t="shared" si="45"/>
        <v>1086710</v>
      </c>
      <c r="AD67" s="8">
        <f t="shared" si="66"/>
        <v>6520260</v>
      </c>
      <c r="AE67" s="8">
        <f t="shared" si="67"/>
        <v>0</v>
      </c>
      <c r="AF67" s="8">
        <f t="shared" si="68"/>
        <v>6520260</v>
      </c>
      <c r="AG67" s="8">
        <f>1086710*2</f>
        <v>2173420</v>
      </c>
      <c r="AH67" s="8">
        <v>0</v>
      </c>
      <c r="AI67" s="8">
        <f t="shared" si="63"/>
        <v>2173420</v>
      </c>
      <c r="AJ67" s="8">
        <v>0</v>
      </c>
      <c r="AK67" s="8">
        <v>0</v>
      </c>
      <c r="AL67" s="8"/>
      <c r="AM67" s="8">
        <f t="shared" ref="AM67:AM71" si="70">AJ67+AK67</f>
        <v>0</v>
      </c>
      <c r="AN67" s="8">
        <f>1086710*4</f>
        <v>4346840</v>
      </c>
      <c r="AO67" s="8">
        <v>0</v>
      </c>
      <c r="AP67" s="8">
        <f t="shared" si="50"/>
        <v>4346840</v>
      </c>
      <c r="AQ67" s="299">
        <f t="shared" si="11"/>
        <v>0</v>
      </c>
      <c r="AR67" s="47"/>
    </row>
    <row r="68" spans="2:44" ht="36.6" customHeight="1" thickBot="1">
      <c r="B68" s="35" t="s">
        <v>328</v>
      </c>
      <c r="C68" s="353" t="s">
        <v>338</v>
      </c>
      <c r="D68" s="67"/>
      <c r="E68" s="323" t="s">
        <v>1629</v>
      </c>
      <c r="F68" s="806"/>
      <c r="G68" s="804">
        <v>2025</v>
      </c>
      <c r="H68" s="804">
        <v>2030</v>
      </c>
      <c r="I68" s="7">
        <v>0</v>
      </c>
      <c r="J68" s="7">
        <v>0</v>
      </c>
      <c r="K68" s="8">
        <f t="shared" si="60"/>
        <v>0</v>
      </c>
      <c r="L68" s="7">
        <v>1086710</v>
      </c>
      <c r="M68" s="147">
        <v>0</v>
      </c>
      <c r="N68" s="8">
        <f t="shared" si="54"/>
        <v>1086710</v>
      </c>
      <c r="O68" s="7">
        <v>1086710</v>
      </c>
      <c r="P68" s="147">
        <v>0</v>
      </c>
      <c r="Q68" s="8">
        <f t="shared" si="55"/>
        <v>1086710</v>
      </c>
      <c r="R68" s="7">
        <v>1086710</v>
      </c>
      <c r="S68" s="147">
        <v>0</v>
      </c>
      <c r="T68" s="8">
        <f t="shared" si="42"/>
        <v>1086710</v>
      </c>
      <c r="U68" s="7">
        <v>1086710</v>
      </c>
      <c r="V68" s="147">
        <v>0</v>
      </c>
      <c r="W68" s="8">
        <f t="shared" si="43"/>
        <v>1086710</v>
      </c>
      <c r="X68" s="7">
        <v>1086710</v>
      </c>
      <c r="Y68" s="147">
        <v>0</v>
      </c>
      <c r="Z68" s="8">
        <f t="shared" si="44"/>
        <v>1086710</v>
      </c>
      <c r="AA68" s="7">
        <v>1086710</v>
      </c>
      <c r="AB68" s="147">
        <v>0</v>
      </c>
      <c r="AC68" s="8">
        <f t="shared" si="45"/>
        <v>1086710</v>
      </c>
      <c r="AD68" s="8">
        <f t="shared" si="66"/>
        <v>6520260</v>
      </c>
      <c r="AE68" s="8">
        <f t="shared" si="67"/>
        <v>0</v>
      </c>
      <c r="AF68" s="8">
        <f t="shared" si="68"/>
        <v>6520260</v>
      </c>
      <c r="AG68" s="8">
        <f>1086710*2</f>
        <v>2173420</v>
      </c>
      <c r="AH68" s="8">
        <v>0</v>
      </c>
      <c r="AI68" s="8">
        <f t="shared" si="63"/>
        <v>2173420</v>
      </c>
      <c r="AJ68" s="8">
        <v>0</v>
      </c>
      <c r="AK68" s="8">
        <v>0</v>
      </c>
      <c r="AL68" s="8"/>
      <c r="AM68" s="8">
        <f t="shared" si="70"/>
        <v>0</v>
      </c>
      <c r="AN68" s="8">
        <f>1086710*4</f>
        <v>4346840</v>
      </c>
      <c r="AO68" s="8">
        <v>0</v>
      </c>
      <c r="AP68" s="8">
        <f t="shared" si="50"/>
        <v>4346840</v>
      </c>
      <c r="AQ68" s="299">
        <f t="shared" si="11"/>
        <v>0</v>
      </c>
      <c r="AR68" s="47"/>
    </row>
    <row r="69" spans="2:44" ht="90" customHeight="1" thickBot="1">
      <c r="B69" s="35" t="s">
        <v>329</v>
      </c>
      <c r="C69" s="353" t="s">
        <v>339</v>
      </c>
      <c r="D69" s="67"/>
      <c r="E69" s="323" t="s">
        <v>1629</v>
      </c>
      <c r="F69" s="806"/>
      <c r="G69" s="804">
        <v>2025</v>
      </c>
      <c r="H69" s="804">
        <v>2030</v>
      </c>
      <c r="I69" s="7">
        <v>0</v>
      </c>
      <c r="J69" s="7">
        <v>0</v>
      </c>
      <c r="K69" s="8">
        <f t="shared" si="60"/>
        <v>0</v>
      </c>
      <c r="L69" s="7">
        <v>2173420</v>
      </c>
      <c r="M69" s="147">
        <v>0</v>
      </c>
      <c r="N69" s="8">
        <f t="shared" si="54"/>
        <v>2173420</v>
      </c>
      <c r="O69" s="7">
        <v>2173420</v>
      </c>
      <c r="P69" s="147">
        <v>0</v>
      </c>
      <c r="Q69" s="8">
        <f t="shared" si="55"/>
        <v>2173420</v>
      </c>
      <c r="R69" s="7">
        <v>2173420</v>
      </c>
      <c r="S69" s="147">
        <v>0</v>
      </c>
      <c r="T69" s="8">
        <f t="shared" si="42"/>
        <v>2173420</v>
      </c>
      <c r="U69" s="7">
        <v>2173420</v>
      </c>
      <c r="V69" s="147">
        <v>0</v>
      </c>
      <c r="W69" s="8">
        <f t="shared" si="43"/>
        <v>2173420</v>
      </c>
      <c r="X69" s="7">
        <v>2173420</v>
      </c>
      <c r="Y69" s="147">
        <v>0</v>
      </c>
      <c r="Z69" s="8">
        <f t="shared" si="44"/>
        <v>2173420</v>
      </c>
      <c r="AA69" s="7">
        <v>2173420</v>
      </c>
      <c r="AB69" s="147">
        <v>0</v>
      </c>
      <c r="AC69" s="8">
        <f t="shared" si="45"/>
        <v>2173420</v>
      </c>
      <c r="AD69" s="8">
        <f t="shared" si="66"/>
        <v>13040520</v>
      </c>
      <c r="AE69" s="8">
        <f t="shared" si="67"/>
        <v>0</v>
      </c>
      <c r="AF69" s="8">
        <f t="shared" si="68"/>
        <v>13040520</v>
      </c>
      <c r="AG69" s="8">
        <f>2173420*2</f>
        <v>4346840</v>
      </c>
      <c r="AH69" s="8">
        <v>0</v>
      </c>
      <c r="AI69" s="8">
        <f t="shared" si="63"/>
        <v>4346840</v>
      </c>
      <c r="AJ69" s="8">
        <v>0</v>
      </c>
      <c r="AK69" s="8">
        <v>0</v>
      </c>
      <c r="AL69" s="8"/>
      <c r="AM69" s="8">
        <f t="shared" si="70"/>
        <v>0</v>
      </c>
      <c r="AN69" s="8">
        <f>2173420*4</f>
        <v>8693680</v>
      </c>
      <c r="AO69" s="8">
        <v>0</v>
      </c>
      <c r="AP69" s="8">
        <f t="shared" si="50"/>
        <v>8693680</v>
      </c>
      <c r="AQ69" s="299">
        <f t="shared" si="11"/>
        <v>0</v>
      </c>
      <c r="AR69" s="47"/>
    </row>
    <row r="70" spans="2:44" ht="90" customHeight="1" thickBot="1">
      <c r="B70" s="35" t="s">
        <v>330</v>
      </c>
      <c r="C70" s="353" t="s">
        <v>340</v>
      </c>
      <c r="D70" s="67"/>
      <c r="E70" s="323" t="s">
        <v>1629</v>
      </c>
      <c r="F70" s="806"/>
      <c r="G70" s="804">
        <v>2025</v>
      </c>
      <c r="H70" s="804">
        <v>2030</v>
      </c>
      <c r="I70" s="7">
        <v>0</v>
      </c>
      <c r="J70" s="7">
        <v>0</v>
      </c>
      <c r="K70" s="8">
        <f t="shared" si="60"/>
        <v>0</v>
      </c>
      <c r="L70" s="7">
        <v>2173420</v>
      </c>
      <c r="M70" s="147">
        <v>0</v>
      </c>
      <c r="N70" s="8">
        <f t="shared" si="54"/>
        <v>2173420</v>
      </c>
      <c r="O70" s="7">
        <v>2173420</v>
      </c>
      <c r="P70" s="147">
        <v>0</v>
      </c>
      <c r="Q70" s="8">
        <f t="shared" si="55"/>
        <v>2173420</v>
      </c>
      <c r="R70" s="7">
        <v>2173420</v>
      </c>
      <c r="S70" s="147">
        <v>0</v>
      </c>
      <c r="T70" s="8">
        <f t="shared" si="42"/>
        <v>2173420</v>
      </c>
      <c r="U70" s="7">
        <v>2173420</v>
      </c>
      <c r="V70" s="147">
        <v>0</v>
      </c>
      <c r="W70" s="8">
        <f t="shared" si="43"/>
        <v>2173420</v>
      </c>
      <c r="X70" s="7">
        <v>2173420</v>
      </c>
      <c r="Y70" s="147">
        <v>0</v>
      </c>
      <c r="Z70" s="8">
        <f t="shared" si="44"/>
        <v>2173420</v>
      </c>
      <c r="AA70" s="7">
        <v>2173420</v>
      </c>
      <c r="AB70" s="147">
        <v>0</v>
      </c>
      <c r="AC70" s="8">
        <f t="shared" si="45"/>
        <v>2173420</v>
      </c>
      <c r="AD70" s="8">
        <f t="shared" si="66"/>
        <v>13040520</v>
      </c>
      <c r="AE70" s="8">
        <f t="shared" si="67"/>
        <v>0</v>
      </c>
      <c r="AF70" s="8">
        <f t="shared" si="68"/>
        <v>13040520</v>
      </c>
      <c r="AG70" s="8">
        <f>2173420*2</f>
        <v>4346840</v>
      </c>
      <c r="AH70" s="8">
        <v>0</v>
      </c>
      <c r="AI70" s="8">
        <f t="shared" si="63"/>
        <v>4346840</v>
      </c>
      <c r="AJ70" s="8">
        <v>0</v>
      </c>
      <c r="AK70" s="8">
        <v>0</v>
      </c>
      <c r="AL70" s="8"/>
      <c r="AM70" s="8">
        <f t="shared" si="70"/>
        <v>0</v>
      </c>
      <c r="AN70" s="8">
        <f>2173420*4</f>
        <v>8693680</v>
      </c>
      <c r="AO70" s="8">
        <v>0</v>
      </c>
      <c r="AP70" s="8">
        <f t="shared" si="50"/>
        <v>8693680</v>
      </c>
      <c r="AQ70" s="299">
        <f t="shared" si="11"/>
        <v>0</v>
      </c>
      <c r="AR70" s="47"/>
    </row>
    <row r="71" spans="2:44" ht="46.9" customHeight="1">
      <c r="B71" s="35" t="s">
        <v>331</v>
      </c>
      <c r="C71" s="353" t="s">
        <v>1628</v>
      </c>
      <c r="D71" s="67"/>
      <c r="E71" s="323" t="s">
        <v>1629</v>
      </c>
      <c r="F71" s="806"/>
      <c r="G71" s="804">
        <v>2025</v>
      </c>
      <c r="H71" s="804">
        <v>2030</v>
      </c>
      <c r="I71" s="7">
        <v>0</v>
      </c>
      <c r="J71" s="7">
        <v>0</v>
      </c>
      <c r="K71" s="8">
        <f t="shared" si="60"/>
        <v>0</v>
      </c>
      <c r="L71" s="7">
        <v>240000</v>
      </c>
      <c r="M71" s="147">
        <v>0</v>
      </c>
      <c r="N71" s="8">
        <f t="shared" si="54"/>
        <v>240000</v>
      </c>
      <c r="O71" s="7">
        <v>240000</v>
      </c>
      <c r="P71" s="147">
        <v>0</v>
      </c>
      <c r="Q71" s="8">
        <f t="shared" si="55"/>
        <v>240000</v>
      </c>
      <c r="R71" s="7">
        <v>240000</v>
      </c>
      <c r="S71" s="147">
        <v>0</v>
      </c>
      <c r="T71" s="8">
        <f t="shared" si="42"/>
        <v>240000</v>
      </c>
      <c r="U71" s="7">
        <v>240000</v>
      </c>
      <c r="V71" s="147">
        <v>0</v>
      </c>
      <c r="W71" s="8">
        <f t="shared" si="43"/>
        <v>240000</v>
      </c>
      <c r="X71" s="7">
        <v>240000</v>
      </c>
      <c r="Y71" s="147">
        <v>0</v>
      </c>
      <c r="Z71" s="8">
        <f t="shared" si="44"/>
        <v>240000</v>
      </c>
      <c r="AA71" s="7">
        <v>240000</v>
      </c>
      <c r="AB71" s="147">
        <v>0</v>
      </c>
      <c r="AC71" s="8">
        <f t="shared" si="45"/>
        <v>240000</v>
      </c>
      <c r="AD71" s="8">
        <f t="shared" si="66"/>
        <v>1440000</v>
      </c>
      <c r="AE71" s="8">
        <f t="shared" si="67"/>
        <v>0</v>
      </c>
      <c r="AF71" s="8">
        <f t="shared" si="68"/>
        <v>1440000</v>
      </c>
      <c r="AG71" s="8">
        <f>240000*2</f>
        <v>480000</v>
      </c>
      <c r="AH71" s="8">
        <v>0</v>
      </c>
      <c r="AI71" s="8">
        <f t="shared" si="63"/>
        <v>480000</v>
      </c>
      <c r="AJ71" s="8">
        <v>0</v>
      </c>
      <c r="AK71" s="8">
        <v>0</v>
      </c>
      <c r="AL71" s="8"/>
      <c r="AM71" s="8">
        <f t="shared" si="70"/>
        <v>0</v>
      </c>
      <c r="AN71" s="8">
        <f>240000*4</f>
        <v>960000</v>
      </c>
      <c r="AO71" s="8">
        <v>0</v>
      </c>
      <c r="AP71" s="8">
        <f t="shared" si="50"/>
        <v>960000</v>
      </c>
      <c r="AQ71" s="299">
        <f t="shared" si="11"/>
        <v>0</v>
      </c>
      <c r="AR71" s="47"/>
    </row>
    <row r="72" spans="2:44" ht="58.15" customHeight="1">
      <c r="B72" s="35" t="s">
        <v>1633</v>
      </c>
      <c r="C72" s="376" t="s">
        <v>1620</v>
      </c>
      <c r="D72" s="67"/>
      <c r="E72" s="39" t="s">
        <v>1621</v>
      </c>
      <c r="F72" s="806"/>
      <c r="G72" s="804">
        <v>2026</v>
      </c>
      <c r="H72" s="804">
        <v>2026</v>
      </c>
      <c r="I72" s="7">
        <v>3260130</v>
      </c>
      <c r="J72" s="7">
        <v>0</v>
      </c>
      <c r="K72" s="8">
        <f t="shared" si="60"/>
        <v>3260130</v>
      </c>
      <c r="L72" s="7">
        <v>0</v>
      </c>
      <c r="M72" s="147">
        <v>0</v>
      </c>
      <c r="N72" s="8">
        <f t="shared" si="54"/>
        <v>0</v>
      </c>
      <c r="O72" s="7">
        <v>0</v>
      </c>
      <c r="P72" s="147">
        <v>0</v>
      </c>
      <c r="Q72" s="8">
        <f t="shared" si="55"/>
        <v>0</v>
      </c>
      <c r="R72" s="7">
        <v>0</v>
      </c>
      <c r="S72" s="147">
        <v>0</v>
      </c>
      <c r="T72" s="8">
        <f t="shared" si="42"/>
        <v>0</v>
      </c>
      <c r="U72" s="7">
        <v>0</v>
      </c>
      <c r="V72" s="147">
        <v>0</v>
      </c>
      <c r="W72" s="8">
        <f t="shared" si="43"/>
        <v>0</v>
      </c>
      <c r="X72" s="7">
        <v>0</v>
      </c>
      <c r="Y72" s="147">
        <v>0</v>
      </c>
      <c r="Z72" s="8">
        <f t="shared" si="44"/>
        <v>0</v>
      </c>
      <c r="AA72" s="7">
        <v>0</v>
      </c>
      <c r="AB72" s="147">
        <v>0</v>
      </c>
      <c r="AC72" s="8">
        <f t="shared" si="45"/>
        <v>0</v>
      </c>
      <c r="AD72" s="8">
        <f t="shared" si="66"/>
        <v>3260130</v>
      </c>
      <c r="AE72" s="8">
        <f t="shared" si="67"/>
        <v>0</v>
      </c>
      <c r="AF72" s="8">
        <f t="shared" si="68"/>
        <v>3260130</v>
      </c>
      <c r="AG72" s="8">
        <v>3260130</v>
      </c>
      <c r="AH72" s="8">
        <v>0</v>
      </c>
      <c r="AI72" s="8">
        <f t="shared" si="63"/>
        <v>3260130</v>
      </c>
      <c r="AJ72" s="8">
        <v>0</v>
      </c>
      <c r="AK72" s="8">
        <v>0</v>
      </c>
      <c r="AL72" s="8"/>
      <c r="AM72" s="8">
        <f t="shared" ref="AM72:AM75" si="71">AJ72+AK72</f>
        <v>0</v>
      </c>
      <c r="AN72" s="8">
        <v>0</v>
      </c>
      <c r="AO72" s="8">
        <v>0</v>
      </c>
      <c r="AP72" s="8">
        <f t="shared" si="50"/>
        <v>0</v>
      </c>
      <c r="AQ72" s="299">
        <f t="shared" si="11"/>
        <v>0</v>
      </c>
      <c r="AR72" s="47"/>
    </row>
    <row r="73" spans="2:44" ht="42" customHeight="1">
      <c r="B73" s="35" t="s">
        <v>332</v>
      </c>
      <c r="C73" s="353" t="s">
        <v>1623</v>
      </c>
      <c r="D73" s="67"/>
      <c r="E73" s="807" t="s">
        <v>69</v>
      </c>
      <c r="F73" s="39" t="s">
        <v>1622</v>
      </c>
      <c r="G73" s="804">
        <v>2026</v>
      </c>
      <c r="H73" s="804">
        <v>2026</v>
      </c>
      <c r="I73" s="7">
        <v>0</v>
      </c>
      <c r="J73" s="7">
        <v>0</v>
      </c>
      <c r="K73" s="8">
        <f t="shared" si="60"/>
        <v>0</v>
      </c>
      <c r="L73" s="7">
        <v>3260130</v>
      </c>
      <c r="M73" s="147">
        <v>0</v>
      </c>
      <c r="N73" s="8">
        <f t="shared" si="54"/>
        <v>3260130</v>
      </c>
      <c r="O73" s="7">
        <v>0</v>
      </c>
      <c r="P73" s="147">
        <v>0</v>
      </c>
      <c r="Q73" s="8">
        <f t="shared" si="55"/>
        <v>0</v>
      </c>
      <c r="R73" s="7">
        <v>0</v>
      </c>
      <c r="S73" s="147">
        <v>0</v>
      </c>
      <c r="T73" s="8">
        <f t="shared" si="42"/>
        <v>0</v>
      </c>
      <c r="U73" s="7">
        <v>0</v>
      </c>
      <c r="V73" s="147">
        <v>0</v>
      </c>
      <c r="W73" s="8">
        <f t="shared" si="43"/>
        <v>0</v>
      </c>
      <c r="X73" s="7">
        <v>0</v>
      </c>
      <c r="Y73" s="147">
        <v>0</v>
      </c>
      <c r="Z73" s="8">
        <f t="shared" si="44"/>
        <v>0</v>
      </c>
      <c r="AA73" s="7">
        <v>0</v>
      </c>
      <c r="AB73" s="147">
        <v>0</v>
      </c>
      <c r="AC73" s="8">
        <f t="shared" si="45"/>
        <v>0</v>
      </c>
      <c r="AD73" s="8">
        <f t="shared" si="66"/>
        <v>3260130</v>
      </c>
      <c r="AE73" s="8">
        <f t="shared" si="67"/>
        <v>0</v>
      </c>
      <c r="AF73" s="8">
        <f t="shared" si="68"/>
        <v>3260130</v>
      </c>
      <c r="AG73" s="8">
        <v>3260130</v>
      </c>
      <c r="AH73" s="8">
        <v>0</v>
      </c>
      <c r="AI73" s="8">
        <f t="shared" si="63"/>
        <v>3260130</v>
      </c>
      <c r="AJ73" s="8">
        <v>0</v>
      </c>
      <c r="AK73" s="8">
        <v>0</v>
      </c>
      <c r="AL73" s="8"/>
      <c r="AM73" s="8">
        <f t="shared" si="71"/>
        <v>0</v>
      </c>
      <c r="AN73" s="8">
        <v>0</v>
      </c>
      <c r="AO73" s="8">
        <v>0</v>
      </c>
      <c r="AP73" s="8">
        <f t="shared" si="50"/>
        <v>0</v>
      </c>
      <c r="AQ73" s="299">
        <f t="shared" si="11"/>
        <v>0</v>
      </c>
      <c r="AR73" s="47"/>
    </row>
    <row r="74" spans="2:44" ht="42" customHeight="1">
      <c r="B74" s="35" t="s">
        <v>333</v>
      </c>
      <c r="C74" s="353" t="s">
        <v>279</v>
      </c>
      <c r="D74" s="67"/>
      <c r="E74" s="807" t="s">
        <v>69</v>
      </c>
      <c r="F74" s="39" t="s">
        <v>1622</v>
      </c>
      <c r="G74" s="804">
        <v>2026</v>
      </c>
      <c r="H74" s="804">
        <v>2026</v>
      </c>
      <c r="I74" s="7">
        <v>0</v>
      </c>
      <c r="J74" s="7">
        <v>0</v>
      </c>
      <c r="K74" s="8">
        <f t="shared" si="60"/>
        <v>0</v>
      </c>
      <c r="L74" s="7">
        <v>0</v>
      </c>
      <c r="M74" s="7">
        <v>0</v>
      </c>
      <c r="N74" s="8">
        <f t="shared" si="54"/>
        <v>0</v>
      </c>
      <c r="O74" s="7">
        <v>0</v>
      </c>
      <c r="P74" s="7">
        <v>0</v>
      </c>
      <c r="Q74" s="8">
        <f t="shared" si="55"/>
        <v>0</v>
      </c>
      <c r="R74" s="7">
        <v>0</v>
      </c>
      <c r="S74" s="7">
        <v>0</v>
      </c>
      <c r="T74" s="8">
        <f t="shared" si="42"/>
        <v>0</v>
      </c>
      <c r="U74" s="8">
        <v>1200000</v>
      </c>
      <c r="V74" s="8">
        <v>0</v>
      </c>
      <c r="W74" s="8">
        <f t="shared" si="43"/>
        <v>1200000</v>
      </c>
      <c r="X74" s="8">
        <v>0</v>
      </c>
      <c r="Y74" s="8">
        <v>0</v>
      </c>
      <c r="Z74" s="8">
        <f t="shared" si="44"/>
        <v>0</v>
      </c>
      <c r="AA74" s="8">
        <v>0</v>
      </c>
      <c r="AB74" s="8">
        <v>0</v>
      </c>
      <c r="AC74" s="8">
        <f t="shared" si="45"/>
        <v>0</v>
      </c>
      <c r="AD74" s="8">
        <f t="shared" si="66"/>
        <v>1200000</v>
      </c>
      <c r="AE74" s="8">
        <f t="shared" si="67"/>
        <v>0</v>
      </c>
      <c r="AF74" s="8">
        <f t="shared" si="68"/>
        <v>1200000</v>
      </c>
      <c r="AG74" s="8">
        <v>0</v>
      </c>
      <c r="AH74" s="8">
        <v>0</v>
      </c>
      <c r="AI74" s="8">
        <f t="shared" si="63"/>
        <v>0</v>
      </c>
      <c r="AJ74" s="8">
        <v>0</v>
      </c>
      <c r="AK74" s="8">
        <v>0</v>
      </c>
      <c r="AL74" s="8"/>
      <c r="AM74" s="8">
        <f t="shared" si="71"/>
        <v>0</v>
      </c>
      <c r="AN74" s="8">
        <v>1200000</v>
      </c>
      <c r="AO74" s="8">
        <v>0</v>
      </c>
      <c r="AP74" s="8">
        <f t="shared" si="50"/>
        <v>1200000</v>
      </c>
      <c r="AQ74" s="299">
        <f t="shared" si="11"/>
        <v>0</v>
      </c>
      <c r="AR74" s="47"/>
    </row>
    <row r="75" spans="2:44" ht="90" customHeight="1">
      <c r="B75" s="35" t="s">
        <v>334</v>
      </c>
      <c r="C75" s="353" t="s">
        <v>280</v>
      </c>
      <c r="D75" s="67"/>
      <c r="E75" s="807" t="s">
        <v>285</v>
      </c>
      <c r="F75" s="39" t="s">
        <v>1622</v>
      </c>
      <c r="G75" s="804">
        <v>2026</v>
      </c>
      <c r="H75" s="804">
        <v>2026</v>
      </c>
      <c r="I75" s="7">
        <v>0</v>
      </c>
      <c r="J75" s="7">
        <v>0</v>
      </c>
      <c r="K75" s="8">
        <f t="shared" si="60"/>
        <v>0</v>
      </c>
      <c r="L75" s="7">
        <v>0</v>
      </c>
      <c r="M75" s="7">
        <v>0</v>
      </c>
      <c r="N75" s="8">
        <f t="shared" si="54"/>
        <v>0</v>
      </c>
      <c r="O75" s="7">
        <v>1086710</v>
      </c>
      <c r="P75" s="8">
        <v>0</v>
      </c>
      <c r="Q75" s="8">
        <f t="shared" si="55"/>
        <v>1086710</v>
      </c>
      <c r="R75" s="7">
        <v>0</v>
      </c>
      <c r="S75" s="7">
        <v>0</v>
      </c>
      <c r="T75" s="8">
        <f t="shared" si="42"/>
        <v>0</v>
      </c>
      <c r="U75" s="7">
        <v>0</v>
      </c>
      <c r="V75" s="7">
        <v>0</v>
      </c>
      <c r="W75" s="8">
        <f t="shared" si="43"/>
        <v>0</v>
      </c>
      <c r="X75" s="7">
        <v>0</v>
      </c>
      <c r="Y75" s="7">
        <v>0</v>
      </c>
      <c r="Z75" s="8">
        <f t="shared" si="44"/>
        <v>0</v>
      </c>
      <c r="AA75" s="7">
        <v>0</v>
      </c>
      <c r="AB75" s="7">
        <v>0</v>
      </c>
      <c r="AC75" s="8">
        <f t="shared" si="45"/>
        <v>0</v>
      </c>
      <c r="AD75" s="8">
        <f t="shared" si="66"/>
        <v>1086710</v>
      </c>
      <c r="AE75" s="8">
        <f t="shared" si="67"/>
        <v>0</v>
      </c>
      <c r="AF75" s="8">
        <f t="shared" si="68"/>
        <v>1086710</v>
      </c>
      <c r="AG75" s="8">
        <v>1086710</v>
      </c>
      <c r="AH75" s="8">
        <v>0</v>
      </c>
      <c r="AI75" s="8">
        <f t="shared" si="63"/>
        <v>1086710</v>
      </c>
      <c r="AJ75" s="8">
        <v>0</v>
      </c>
      <c r="AK75" s="8">
        <v>0</v>
      </c>
      <c r="AL75" s="8"/>
      <c r="AM75" s="8">
        <f t="shared" si="71"/>
        <v>0</v>
      </c>
      <c r="AN75" s="8">
        <v>0</v>
      </c>
      <c r="AO75" s="8">
        <v>0</v>
      </c>
      <c r="AP75" s="8">
        <f t="shared" si="50"/>
        <v>0</v>
      </c>
      <c r="AQ75" s="299">
        <f t="shared" si="11"/>
        <v>0</v>
      </c>
      <c r="AR75" s="47"/>
    </row>
    <row r="76" spans="2:44" ht="90" customHeight="1">
      <c r="B76" s="210" t="s">
        <v>343</v>
      </c>
      <c r="C76" s="761" t="s">
        <v>1624</v>
      </c>
      <c r="D76" s="184"/>
      <c r="E76" s="382" t="s">
        <v>357</v>
      </c>
      <c r="F76" s="382" t="s">
        <v>356</v>
      </c>
      <c r="G76" s="341">
        <v>2025</v>
      </c>
      <c r="H76" s="341">
        <v>2029</v>
      </c>
      <c r="I76" s="189">
        <f>SUM(I77:I81)</f>
        <v>4346840</v>
      </c>
      <c r="J76" s="189">
        <f>SUM(J77:J81)</f>
        <v>0</v>
      </c>
      <c r="K76" s="190">
        <f t="shared" si="60"/>
        <v>4346840</v>
      </c>
      <c r="L76" s="189">
        <f t="shared" ref="L76:M76" si="72">SUM(L77:L81)</f>
        <v>9260130</v>
      </c>
      <c r="M76" s="363">
        <f t="shared" si="72"/>
        <v>0</v>
      </c>
      <c r="N76" s="190">
        <f t="shared" si="54"/>
        <v>9260130</v>
      </c>
      <c r="O76" s="189">
        <f t="shared" ref="O76:P76" si="73">SUM(O77:O81)</f>
        <v>1200000</v>
      </c>
      <c r="P76" s="190">
        <f t="shared" si="73"/>
        <v>0</v>
      </c>
      <c r="Q76" s="190">
        <f t="shared" si="55"/>
        <v>1200000</v>
      </c>
      <c r="R76" s="190">
        <f t="shared" ref="R76:S76" si="74">SUM(R77:R81)</f>
        <v>0</v>
      </c>
      <c r="S76" s="190">
        <f t="shared" si="74"/>
        <v>0</v>
      </c>
      <c r="T76" s="190">
        <f t="shared" si="42"/>
        <v>0</v>
      </c>
      <c r="U76" s="190">
        <f t="shared" ref="U76:V76" si="75">SUM(U77:U81)</f>
        <v>2173420</v>
      </c>
      <c r="V76" s="190">
        <f t="shared" si="75"/>
        <v>0</v>
      </c>
      <c r="W76" s="190">
        <f t="shared" si="43"/>
        <v>2173420</v>
      </c>
      <c r="X76" s="190">
        <f t="shared" ref="X76:Y76" si="76">SUM(X77:X81)</f>
        <v>2173420</v>
      </c>
      <c r="Y76" s="190">
        <f t="shared" si="76"/>
        <v>0</v>
      </c>
      <c r="Z76" s="190">
        <f t="shared" si="44"/>
        <v>2173420</v>
      </c>
      <c r="AA76" s="190">
        <f t="shared" ref="AA76" si="77">SUM(AA77:AA81)</f>
        <v>2173420</v>
      </c>
      <c r="AB76" s="190">
        <f t="shared" ref="AB76" si="78">SUM(AB77:AB81)</f>
        <v>0</v>
      </c>
      <c r="AC76" s="190">
        <f t="shared" si="45"/>
        <v>2173420</v>
      </c>
      <c r="AD76" s="190">
        <f t="shared" ref="AD76:AD81" si="79">I76+L76+O76+R76+U76+X76+AA76</f>
        <v>21327230</v>
      </c>
      <c r="AE76" s="190">
        <f>J76+M76+P76+S76+V76+Y76+AB76</f>
        <v>0</v>
      </c>
      <c r="AF76" s="190">
        <f>AD76+AE76</f>
        <v>21327230</v>
      </c>
      <c r="AG76" s="190">
        <f t="shared" ref="AG76" si="80">SUM(AG77:AG81)</f>
        <v>14806970</v>
      </c>
      <c r="AH76" s="190">
        <f t="shared" ref="AH76" si="81">SUM(AH77:AH81)</f>
        <v>0</v>
      </c>
      <c r="AI76" s="190">
        <f t="shared" si="63"/>
        <v>14806970</v>
      </c>
      <c r="AJ76" s="190">
        <f t="shared" ref="AJ76" si="82">SUM(AJ77:AJ81)</f>
        <v>0</v>
      </c>
      <c r="AK76" s="190">
        <f t="shared" ref="AK76" si="83">SUM(AK77:AK81)</f>
        <v>0</v>
      </c>
      <c r="AL76" s="190"/>
      <c r="AM76" s="190">
        <f>AJ76+AK76</f>
        <v>0</v>
      </c>
      <c r="AN76" s="190">
        <f t="shared" ref="AN76" si="84">SUM(AN77:AN81)</f>
        <v>6520260</v>
      </c>
      <c r="AO76" s="190">
        <f t="shared" ref="AO76" si="85">SUM(AO77:AO81)</f>
        <v>0</v>
      </c>
      <c r="AP76" s="190">
        <f t="shared" si="50"/>
        <v>6520260</v>
      </c>
      <c r="AQ76" s="211">
        <f t="shared" si="11"/>
        <v>0</v>
      </c>
      <c r="AR76" s="47"/>
    </row>
    <row r="77" spans="2:44" ht="69.599999999999994" customHeight="1">
      <c r="B77" s="35" t="s">
        <v>344</v>
      </c>
      <c r="C77" s="375" t="s">
        <v>349</v>
      </c>
      <c r="D77" s="67"/>
      <c r="E77" s="324" t="s">
        <v>354</v>
      </c>
      <c r="F77" s="378"/>
      <c r="G77" s="344">
        <v>2024</v>
      </c>
      <c r="H77" s="344">
        <v>2024</v>
      </c>
      <c r="I77" s="7">
        <f>2*2173420</f>
        <v>4346840</v>
      </c>
      <c r="J77" s="7">
        <v>0</v>
      </c>
      <c r="K77" s="257">
        <f t="shared" si="60"/>
        <v>4346840</v>
      </c>
      <c r="L77" s="7">
        <v>0</v>
      </c>
      <c r="M77" s="147">
        <v>0</v>
      </c>
      <c r="N77" s="257">
        <f t="shared" si="54"/>
        <v>0</v>
      </c>
      <c r="O77" s="7">
        <v>0</v>
      </c>
      <c r="P77" s="147">
        <v>0</v>
      </c>
      <c r="Q77" s="257">
        <f t="shared" si="55"/>
        <v>0</v>
      </c>
      <c r="R77" s="7">
        <v>0</v>
      </c>
      <c r="S77" s="147">
        <v>0</v>
      </c>
      <c r="T77" s="257">
        <f t="shared" si="42"/>
        <v>0</v>
      </c>
      <c r="U77" s="7">
        <v>0</v>
      </c>
      <c r="V77" s="147">
        <v>0</v>
      </c>
      <c r="W77" s="257">
        <f t="shared" si="43"/>
        <v>0</v>
      </c>
      <c r="X77" s="7">
        <v>0</v>
      </c>
      <c r="Y77" s="147">
        <v>0</v>
      </c>
      <c r="Z77" s="257">
        <f t="shared" si="44"/>
        <v>0</v>
      </c>
      <c r="AA77" s="7">
        <v>0</v>
      </c>
      <c r="AB77" s="147">
        <v>0</v>
      </c>
      <c r="AC77" s="257">
        <f t="shared" si="45"/>
        <v>0</v>
      </c>
      <c r="AD77" s="8">
        <f t="shared" si="79"/>
        <v>4346840</v>
      </c>
      <c r="AE77" s="8">
        <f t="shared" ref="AE77:AE81" si="86">J77+M77+P77+S77+V77+Y77+AB77</f>
        <v>0</v>
      </c>
      <c r="AF77" s="257">
        <f t="shared" ref="AF77:AF81" si="87">AD77+AE77</f>
        <v>4346840</v>
      </c>
      <c r="AG77" s="8">
        <v>4346840</v>
      </c>
      <c r="AH77" s="64">
        <v>0</v>
      </c>
      <c r="AI77" s="257">
        <f t="shared" si="63"/>
        <v>4346840</v>
      </c>
      <c r="AJ77" s="8">
        <v>0</v>
      </c>
      <c r="AK77" s="8">
        <v>0</v>
      </c>
      <c r="AL77" s="64"/>
      <c r="AM77" s="257">
        <f t="shared" ref="AM77:AM81" si="88">AJ77+AK77</f>
        <v>0</v>
      </c>
      <c r="AN77" s="8">
        <v>0</v>
      </c>
      <c r="AO77" s="8">
        <v>0</v>
      </c>
      <c r="AP77" s="257">
        <f t="shared" si="50"/>
        <v>0</v>
      </c>
      <c r="AQ77" s="170">
        <f t="shared" si="11"/>
        <v>0</v>
      </c>
      <c r="AR77" s="47"/>
    </row>
    <row r="78" spans="2:44" ht="90" customHeight="1" thickBot="1">
      <c r="B78" s="35" t="s">
        <v>345</v>
      </c>
      <c r="C78" s="353" t="s">
        <v>350</v>
      </c>
      <c r="D78" s="67"/>
      <c r="E78" s="39" t="s">
        <v>355</v>
      </c>
      <c r="F78" s="379" t="s">
        <v>356</v>
      </c>
      <c r="G78" s="71" t="s">
        <v>358</v>
      </c>
      <c r="H78" s="71" t="s">
        <v>358</v>
      </c>
      <c r="I78" s="7">
        <v>0</v>
      </c>
      <c r="J78" s="7">
        <v>0</v>
      </c>
      <c r="K78" s="257">
        <f t="shared" si="60"/>
        <v>0</v>
      </c>
      <c r="L78" s="7">
        <v>4800000</v>
      </c>
      <c r="M78" s="147">
        <v>0</v>
      </c>
      <c r="N78" s="257">
        <f t="shared" si="54"/>
        <v>4800000</v>
      </c>
      <c r="O78" s="7">
        <v>0</v>
      </c>
      <c r="P78" s="147">
        <v>0</v>
      </c>
      <c r="Q78" s="257">
        <f t="shared" si="55"/>
        <v>0</v>
      </c>
      <c r="R78" s="7">
        <v>0</v>
      </c>
      <c r="S78" s="147">
        <v>0</v>
      </c>
      <c r="T78" s="257">
        <f t="shared" si="42"/>
        <v>0</v>
      </c>
      <c r="U78" s="7">
        <v>0</v>
      </c>
      <c r="V78" s="147">
        <v>0</v>
      </c>
      <c r="W78" s="257">
        <f t="shared" si="43"/>
        <v>0</v>
      </c>
      <c r="X78" s="7">
        <v>0</v>
      </c>
      <c r="Y78" s="147">
        <v>0</v>
      </c>
      <c r="Z78" s="257">
        <f t="shared" si="44"/>
        <v>0</v>
      </c>
      <c r="AA78" s="7">
        <v>0</v>
      </c>
      <c r="AB78" s="147">
        <v>0</v>
      </c>
      <c r="AC78" s="257">
        <f t="shared" si="45"/>
        <v>0</v>
      </c>
      <c r="AD78" s="8">
        <f t="shared" si="79"/>
        <v>4800000</v>
      </c>
      <c r="AE78" s="8">
        <f t="shared" si="86"/>
        <v>0</v>
      </c>
      <c r="AF78" s="257">
        <f t="shared" si="87"/>
        <v>4800000</v>
      </c>
      <c r="AG78" s="8">
        <v>4800000</v>
      </c>
      <c r="AH78" s="64">
        <v>0</v>
      </c>
      <c r="AI78" s="257">
        <f t="shared" si="63"/>
        <v>4800000</v>
      </c>
      <c r="AJ78" s="8">
        <v>0</v>
      </c>
      <c r="AK78" s="8">
        <v>0</v>
      </c>
      <c r="AL78" s="64"/>
      <c r="AM78" s="257">
        <f t="shared" si="88"/>
        <v>0</v>
      </c>
      <c r="AN78" s="8">
        <v>0</v>
      </c>
      <c r="AO78" s="8">
        <v>0</v>
      </c>
      <c r="AP78" s="257">
        <f t="shared" si="50"/>
        <v>0</v>
      </c>
      <c r="AQ78" s="170">
        <f t="shared" si="11"/>
        <v>0</v>
      </c>
      <c r="AR78" s="47"/>
    </row>
    <row r="79" spans="2:44" ht="52.15" customHeight="1">
      <c r="B79" s="35" t="s">
        <v>346</v>
      </c>
      <c r="C79" s="353" t="s">
        <v>351</v>
      </c>
      <c r="D79" s="67"/>
      <c r="E79" s="323" t="s">
        <v>1629</v>
      </c>
      <c r="F79" s="380"/>
      <c r="G79" s="804">
        <v>2025</v>
      </c>
      <c r="H79" s="804">
        <v>2025</v>
      </c>
      <c r="I79" s="7">
        <v>0</v>
      </c>
      <c r="J79" s="7">
        <v>0</v>
      </c>
      <c r="K79" s="8">
        <f t="shared" si="60"/>
        <v>0</v>
      </c>
      <c r="L79" s="7">
        <v>3260130</v>
      </c>
      <c r="M79" s="147">
        <v>0</v>
      </c>
      <c r="N79" s="8">
        <f t="shared" si="54"/>
        <v>3260130</v>
      </c>
      <c r="O79" s="7">
        <v>0</v>
      </c>
      <c r="P79" s="147">
        <v>0</v>
      </c>
      <c r="Q79" s="8">
        <f t="shared" si="55"/>
        <v>0</v>
      </c>
      <c r="R79" s="7">
        <v>0</v>
      </c>
      <c r="S79" s="147">
        <v>0</v>
      </c>
      <c r="T79" s="8">
        <f t="shared" si="42"/>
        <v>0</v>
      </c>
      <c r="U79" s="7">
        <v>0</v>
      </c>
      <c r="V79" s="147">
        <v>0</v>
      </c>
      <c r="W79" s="8">
        <f t="shared" si="43"/>
        <v>0</v>
      </c>
      <c r="X79" s="7">
        <v>0</v>
      </c>
      <c r="Y79" s="147">
        <v>0</v>
      </c>
      <c r="Z79" s="8">
        <f t="shared" si="44"/>
        <v>0</v>
      </c>
      <c r="AA79" s="7">
        <v>0</v>
      </c>
      <c r="AB79" s="147">
        <v>0</v>
      </c>
      <c r="AC79" s="8">
        <f t="shared" si="45"/>
        <v>0</v>
      </c>
      <c r="AD79" s="8">
        <f t="shared" si="79"/>
        <v>3260130</v>
      </c>
      <c r="AE79" s="8">
        <f t="shared" si="86"/>
        <v>0</v>
      </c>
      <c r="AF79" s="8">
        <f t="shared" si="87"/>
        <v>3260130</v>
      </c>
      <c r="AG79" s="8">
        <v>3260130</v>
      </c>
      <c r="AH79" s="8">
        <v>0</v>
      </c>
      <c r="AI79" s="8">
        <f t="shared" si="63"/>
        <v>3260130</v>
      </c>
      <c r="AJ79" s="8">
        <v>0</v>
      </c>
      <c r="AK79" s="8">
        <v>0</v>
      </c>
      <c r="AL79" s="8"/>
      <c r="AM79" s="8">
        <f t="shared" si="88"/>
        <v>0</v>
      </c>
      <c r="AN79" s="8">
        <v>0</v>
      </c>
      <c r="AO79" s="8">
        <v>0</v>
      </c>
      <c r="AP79" s="8">
        <f t="shared" si="50"/>
        <v>0</v>
      </c>
      <c r="AQ79" s="299">
        <f t="shared" si="11"/>
        <v>0</v>
      </c>
      <c r="AR79" s="47"/>
    </row>
    <row r="80" spans="2:44" ht="50.45" customHeight="1">
      <c r="B80" s="35" t="s">
        <v>347</v>
      </c>
      <c r="C80" s="353" t="s">
        <v>352</v>
      </c>
      <c r="D80" s="67"/>
      <c r="E80" s="381" t="s">
        <v>285</v>
      </c>
      <c r="F80" s="380"/>
      <c r="G80" s="345">
        <v>2025</v>
      </c>
      <c r="H80" s="345">
        <v>2026</v>
      </c>
      <c r="I80" s="7">
        <v>0</v>
      </c>
      <c r="J80" s="7">
        <v>0</v>
      </c>
      <c r="K80" s="257">
        <f t="shared" si="60"/>
        <v>0</v>
      </c>
      <c r="L80" s="7">
        <v>1200000</v>
      </c>
      <c r="M80" s="147">
        <v>0</v>
      </c>
      <c r="N80" s="257">
        <f t="shared" si="54"/>
        <v>1200000</v>
      </c>
      <c r="O80" s="7">
        <v>1200000</v>
      </c>
      <c r="P80" s="64">
        <v>0</v>
      </c>
      <c r="Q80" s="257">
        <f t="shared" si="55"/>
        <v>1200000</v>
      </c>
      <c r="R80" s="7">
        <v>0</v>
      </c>
      <c r="S80" s="147">
        <v>0</v>
      </c>
      <c r="T80" s="257">
        <f t="shared" si="42"/>
        <v>0</v>
      </c>
      <c r="U80" s="7">
        <v>0</v>
      </c>
      <c r="V80" s="147">
        <v>0</v>
      </c>
      <c r="W80" s="257">
        <f t="shared" si="43"/>
        <v>0</v>
      </c>
      <c r="X80" s="7">
        <v>0</v>
      </c>
      <c r="Y80" s="147">
        <v>0</v>
      </c>
      <c r="Z80" s="257">
        <f t="shared" si="44"/>
        <v>0</v>
      </c>
      <c r="AA80" s="7">
        <v>0</v>
      </c>
      <c r="AB80" s="147">
        <v>0</v>
      </c>
      <c r="AC80" s="257">
        <f t="shared" si="45"/>
        <v>0</v>
      </c>
      <c r="AD80" s="8">
        <f t="shared" si="79"/>
        <v>2400000</v>
      </c>
      <c r="AE80" s="8">
        <f t="shared" si="86"/>
        <v>0</v>
      </c>
      <c r="AF80" s="257">
        <f t="shared" si="87"/>
        <v>2400000</v>
      </c>
      <c r="AG80" s="8">
        <v>2400000</v>
      </c>
      <c r="AH80" s="64">
        <v>0</v>
      </c>
      <c r="AI80" s="257">
        <f t="shared" si="63"/>
        <v>2400000</v>
      </c>
      <c r="AJ80" s="8">
        <v>0</v>
      </c>
      <c r="AK80" s="8">
        <v>0</v>
      </c>
      <c r="AL80" s="64"/>
      <c r="AM80" s="257">
        <f t="shared" si="88"/>
        <v>0</v>
      </c>
      <c r="AN80" s="8">
        <v>0</v>
      </c>
      <c r="AO80" s="8">
        <v>0</v>
      </c>
      <c r="AP80" s="257">
        <f t="shared" si="50"/>
        <v>0</v>
      </c>
      <c r="AQ80" s="170">
        <f t="shared" si="11"/>
        <v>0</v>
      </c>
      <c r="AR80" s="47"/>
    </row>
    <row r="81" spans="2:44" ht="63.6" customHeight="1">
      <c r="B81" s="35" t="s">
        <v>348</v>
      </c>
      <c r="C81" s="377" t="s">
        <v>353</v>
      </c>
      <c r="D81" s="67"/>
      <c r="E81" s="167" t="s">
        <v>355</v>
      </c>
      <c r="F81" s="383"/>
      <c r="G81" s="345">
        <v>2028</v>
      </c>
      <c r="H81" s="345">
        <v>2030</v>
      </c>
      <c r="I81" s="7">
        <v>0</v>
      </c>
      <c r="J81" s="7">
        <v>0</v>
      </c>
      <c r="K81" s="257">
        <f t="shared" si="60"/>
        <v>0</v>
      </c>
      <c r="L81" s="7">
        <v>0</v>
      </c>
      <c r="M81" s="147">
        <v>0</v>
      </c>
      <c r="N81" s="257">
        <f t="shared" si="54"/>
        <v>0</v>
      </c>
      <c r="O81" s="7">
        <v>0</v>
      </c>
      <c r="P81" s="147">
        <v>0</v>
      </c>
      <c r="Q81" s="257">
        <f t="shared" si="55"/>
        <v>0</v>
      </c>
      <c r="R81" s="7">
        <v>0</v>
      </c>
      <c r="S81" s="147">
        <v>0</v>
      </c>
      <c r="T81" s="257">
        <f t="shared" si="42"/>
        <v>0</v>
      </c>
      <c r="U81" s="8">
        <v>2173420</v>
      </c>
      <c r="V81" s="64">
        <v>0</v>
      </c>
      <c r="W81" s="257">
        <f t="shared" si="43"/>
        <v>2173420</v>
      </c>
      <c r="X81" s="64">
        <v>2173420</v>
      </c>
      <c r="Y81" s="64">
        <v>0</v>
      </c>
      <c r="Z81" s="257">
        <f t="shared" si="44"/>
        <v>2173420</v>
      </c>
      <c r="AA81" s="64">
        <v>2173420</v>
      </c>
      <c r="AB81" s="64">
        <v>0</v>
      </c>
      <c r="AC81" s="257">
        <f t="shared" si="45"/>
        <v>2173420</v>
      </c>
      <c r="AD81" s="8">
        <f t="shared" si="79"/>
        <v>6520260</v>
      </c>
      <c r="AE81" s="8">
        <f t="shared" si="86"/>
        <v>0</v>
      </c>
      <c r="AF81" s="257">
        <f t="shared" si="87"/>
        <v>6520260</v>
      </c>
      <c r="AG81" s="8">
        <v>0</v>
      </c>
      <c r="AH81" s="64">
        <v>0</v>
      </c>
      <c r="AI81" s="257">
        <f t="shared" si="63"/>
        <v>0</v>
      </c>
      <c r="AJ81" s="8">
        <v>0</v>
      </c>
      <c r="AK81" s="8">
        <v>0</v>
      </c>
      <c r="AL81" s="64"/>
      <c r="AM81" s="257">
        <f t="shared" si="88"/>
        <v>0</v>
      </c>
      <c r="AN81" s="8">
        <v>6520260</v>
      </c>
      <c r="AO81" s="64">
        <v>0</v>
      </c>
      <c r="AP81" s="257">
        <f t="shared" si="50"/>
        <v>6520260</v>
      </c>
      <c r="AQ81" s="170">
        <f t="shared" si="11"/>
        <v>0</v>
      </c>
      <c r="AR81" s="47"/>
    </row>
    <row r="82" spans="2:44" ht="90" customHeight="1" thickBot="1">
      <c r="B82" s="210" t="s">
        <v>359</v>
      </c>
      <c r="C82" s="265" t="s">
        <v>369</v>
      </c>
      <c r="D82" s="184"/>
      <c r="E82" s="201" t="s">
        <v>373</v>
      </c>
      <c r="F82" s="384" t="s">
        <v>370</v>
      </c>
      <c r="G82" s="385">
        <v>2025</v>
      </c>
      <c r="H82" s="385">
        <v>2029</v>
      </c>
      <c r="I82" s="189">
        <f>SUM(I83:I91)</f>
        <v>9780390</v>
      </c>
      <c r="J82" s="189">
        <f>SUM(J83:J91)</f>
        <v>0</v>
      </c>
      <c r="K82" s="190">
        <f t="shared" si="60"/>
        <v>9780390</v>
      </c>
      <c r="L82" s="189">
        <f t="shared" ref="L82:M82" si="89">SUM(L83:L91)</f>
        <v>3973420</v>
      </c>
      <c r="M82" s="363">
        <f t="shared" si="89"/>
        <v>0</v>
      </c>
      <c r="N82" s="190">
        <f t="shared" si="54"/>
        <v>3973420</v>
      </c>
      <c r="O82" s="189">
        <f t="shared" ref="O82:P82" si="90">SUM(O83:O91)</f>
        <v>5060130</v>
      </c>
      <c r="P82" s="190">
        <f t="shared" si="90"/>
        <v>0</v>
      </c>
      <c r="Q82" s="190">
        <f t="shared" si="55"/>
        <v>5060130</v>
      </c>
      <c r="R82" s="190">
        <f t="shared" ref="R82:S82" si="91">SUM(R83:R91)</f>
        <v>3260130</v>
      </c>
      <c r="S82" s="190">
        <f t="shared" si="91"/>
        <v>0</v>
      </c>
      <c r="T82" s="190">
        <f t="shared" si="42"/>
        <v>3260130</v>
      </c>
      <c r="U82" s="190">
        <f t="shared" ref="U82:V82" si="92">SUM(U83:U91)</f>
        <v>0</v>
      </c>
      <c r="V82" s="190">
        <f t="shared" si="92"/>
        <v>0</v>
      </c>
      <c r="W82" s="190">
        <f t="shared" si="43"/>
        <v>0</v>
      </c>
      <c r="X82" s="190">
        <f t="shared" ref="X82:Y82" si="93">SUM(X83:X91)</f>
        <v>0</v>
      </c>
      <c r="Y82" s="190">
        <f t="shared" si="93"/>
        <v>0</v>
      </c>
      <c r="Z82" s="190">
        <f t="shared" si="44"/>
        <v>0</v>
      </c>
      <c r="AA82" s="190">
        <f t="shared" ref="AA82:AB82" si="94">SUM(AA83:AA91)</f>
        <v>0</v>
      </c>
      <c r="AB82" s="190">
        <f t="shared" si="94"/>
        <v>0</v>
      </c>
      <c r="AC82" s="190">
        <f t="shared" si="45"/>
        <v>0</v>
      </c>
      <c r="AD82" s="190">
        <f t="shared" ref="AD82:AD91" si="95">I82+L82+O82+R82+U82+X82+AA82</f>
        <v>22074070</v>
      </c>
      <c r="AE82" s="190">
        <f>J82+M82+P82+S82+V82+Y82+AB82</f>
        <v>0</v>
      </c>
      <c r="AF82" s="190">
        <f>AD82+AE82</f>
        <v>22074070</v>
      </c>
      <c r="AG82" s="190">
        <f t="shared" ref="AG82:AH82" si="96">SUM(AG83:AG91)</f>
        <v>18813940</v>
      </c>
      <c r="AH82" s="190">
        <f t="shared" si="96"/>
        <v>0</v>
      </c>
      <c r="AI82" s="190">
        <f t="shared" si="63"/>
        <v>18813940</v>
      </c>
      <c r="AJ82" s="190">
        <f t="shared" ref="AJ82:AK82" si="97">SUM(AJ83:AJ91)</f>
        <v>0</v>
      </c>
      <c r="AK82" s="190">
        <f t="shared" si="97"/>
        <v>0</v>
      </c>
      <c r="AL82" s="190"/>
      <c r="AM82" s="190">
        <f>AJ82+AK82</f>
        <v>0</v>
      </c>
      <c r="AN82" s="190">
        <f t="shared" ref="AN82:AO82" si="98">SUM(AN83:AN91)</f>
        <v>3260130</v>
      </c>
      <c r="AO82" s="190">
        <f t="shared" si="98"/>
        <v>0</v>
      </c>
      <c r="AP82" s="190">
        <f t="shared" si="50"/>
        <v>3260130</v>
      </c>
      <c r="AQ82" s="211">
        <f t="shared" si="11"/>
        <v>0</v>
      </c>
      <c r="AR82" s="47"/>
    </row>
    <row r="83" spans="2:44" ht="52.15" customHeight="1">
      <c r="B83" s="35" t="s">
        <v>360</v>
      </c>
      <c r="C83" s="352" t="s">
        <v>374</v>
      </c>
      <c r="D83" s="67"/>
      <c r="E83" s="323" t="s">
        <v>370</v>
      </c>
      <c r="F83" s="386"/>
      <c r="G83" s="351">
        <v>2024</v>
      </c>
      <c r="H83" s="351">
        <v>2024</v>
      </c>
      <c r="I83" s="7">
        <v>1086710</v>
      </c>
      <c r="J83" s="7">
        <v>0</v>
      </c>
      <c r="K83" s="257">
        <f t="shared" si="60"/>
        <v>1086710</v>
      </c>
      <c r="L83" s="7">
        <v>0</v>
      </c>
      <c r="M83" s="147">
        <v>0</v>
      </c>
      <c r="N83" s="257">
        <f t="shared" si="54"/>
        <v>0</v>
      </c>
      <c r="O83" s="7">
        <v>0</v>
      </c>
      <c r="P83" s="147">
        <v>0</v>
      </c>
      <c r="Q83" s="257">
        <f t="shared" si="55"/>
        <v>0</v>
      </c>
      <c r="R83" s="7">
        <v>0</v>
      </c>
      <c r="S83" s="147">
        <v>0</v>
      </c>
      <c r="T83" s="257">
        <f t="shared" si="42"/>
        <v>0</v>
      </c>
      <c r="U83" s="7">
        <v>0</v>
      </c>
      <c r="V83" s="147">
        <v>0</v>
      </c>
      <c r="W83" s="257">
        <f t="shared" si="43"/>
        <v>0</v>
      </c>
      <c r="X83" s="7">
        <v>0</v>
      </c>
      <c r="Y83" s="147">
        <v>0</v>
      </c>
      <c r="Z83" s="257">
        <f t="shared" si="44"/>
        <v>0</v>
      </c>
      <c r="AA83" s="7">
        <v>0</v>
      </c>
      <c r="AB83" s="147">
        <v>0</v>
      </c>
      <c r="AC83" s="257">
        <f t="shared" si="45"/>
        <v>0</v>
      </c>
      <c r="AD83" s="8">
        <f t="shared" si="95"/>
        <v>1086710</v>
      </c>
      <c r="AE83" s="8">
        <f t="shared" ref="AE83:AE91" si="99">J83+M83+P83+S83+V83+Y83+AB83</f>
        <v>0</v>
      </c>
      <c r="AF83" s="257">
        <f t="shared" ref="AF83:AF91" si="100">AD83+AE83</f>
        <v>1086710</v>
      </c>
      <c r="AG83" s="8">
        <v>1086710</v>
      </c>
      <c r="AH83" s="64">
        <v>0</v>
      </c>
      <c r="AI83" s="257">
        <f t="shared" si="63"/>
        <v>1086710</v>
      </c>
      <c r="AJ83" s="8">
        <v>0</v>
      </c>
      <c r="AK83" s="8">
        <v>0</v>
      </c>
      <c r="AL83" s="64"/>
      <c r="AM83" s="257">
        <f t="shared" ref="AM83:AM84" si="101">AJ83+AK83</f>
        <v>0</v>
      </c>
      <c r="AN83" s="8">
        <v>0</v>
      </c>
      <c r="AO83" s="8">
        <v>0</v>
      </c>
      <c r="AP83" s="257">
        <f t="shared" si="50"/>
        <v>0</v>
      </c>
      <c r="AQ83" s="170">
        <f t="shared" si="11"/>
        <v>0</v>
      </c>
      <c r="AR83" s="47"/>
    </row>
    <row r="84" spans="2:44" ht="48.6" customHeight="1">
      <c r="B84" s="35" t="s">
        <v>368</v>
      </c>
      <c r="C84" s="375" t="s">
        <v>375</v>
      </c>
      <c r="D84" s="67"/>
      <c r="E84" s="325" t="s">
        <v>370</v>
      </c>
      <c r="F84" s="387"/>
      <c r="G84" s="344">
        <v>2024</v>
      </c>
      <c r="H84" s="344">
        <v>2024</v>
      </c>
      <c r="I84" s="7">
        <v>3260130</v>
      </c>
      <c r="J84" s="7">
        <v>0</v>
      </c>
      <c r="K84" s="257">
        <f t="shared" si="60"/>
        <v>3260130</v>
      </c>
      <c r="L84" s="7">
        <v>0</v>
      </c>
      <c r="M84" s="147">
        <v>0</v>
      </c>
      <c r="N84" s="257">
        <f t="shared" si="54"/>
        <v>0</v>
      </c>
      <c r="O84" s="7">
        <v>0</v>
      </c>
      <c r="P84" s="147">
        <v>0</v>
      </c>
      <c r="Q84" s="257">
        <f t="shared" si="55"/>
        <v>0</v>
      </c>
      <c r="R84" s="7">
        <v>0</v>
      </c>
      <c r="S84" s="147">
        <v>0</v>
      </c>
      <c r="T84" s="257">
        <f t="shared" si="42"/>
        <v>0</v>
      </c>
      <c r="U84" s="7">
        <v>0</v>
      </c>
      <c r="V84" s="147">
        <v>0</v>
      </c>
      <c r="W84" s="257">
        <f t="shared" si="43"/>
        <v>0</v>
      </c>
      <c r="X84" s="7">
        <v>0</v>
      </c>
      <c r="Y84" s="147">
        <v>0</v>
      </c>
      <c r="Z84" s="257">
        <f t="shared" si="44"/>
        <v>0</v>
      </c>
      <c r="AA84" s="7">
        <v>0</v>
      </c>
      <c r="AB84" s="147">
        <v>0</v>
      </c>
      <c r="AC84" s="257">
        <f t="shared" si="45"/>
        <v>0</v>
      </c>
      <c r="AD84" s="8">
        <f t="shared" si="95"/>
        <v>3260130</v>
      </c>
      <c r="AE84" s="8">
        <f t="shared" si="99"/>
        <v>0</v>
      </c>
      <c r="AF84" s="257">
        <f t="shared" si="100"/>
        <v>3260130</v>
      </c>
      <c r="AG84" s="8">
        <v>3260130</v>
      </c>
      <c r="AH84" s="64">
        <v>0</v>
      </c>
      <c r="AI84" s="257">
        <f t="shared" si="63"/>
        <v>3260130</v>
      </c>
      <c r="AJ84" s="8">
        <v>0</v>
      </c>
      <c r="AK84" s="8">
        <v>0</v>
      </c>
      <c r="AL84" s="64"/>
      <c r="AM84" s="257">
        <f t="shared" si="101"/>
        <v>0</v>
      </c>
      <c r="AN84" s="8">
        <v>0</v>
      </c>
      <c r="AO84" s="8">
        <v>0</v>
      </c>
      <c r="AP84" s="257">
        <f t="shared" si="50"/>
        <v>0</v>
      </c>
      <c r="AQ84" s="170">
        <f t="shared" si="11"/>
        <v>0</v>
      </c>
      <c r="AR84" s="47"/>
    </row>
    <row r="85" spans="2:44" ht="54.6" customHeight="1">
      <c r="B85" s="35" t="s">
        <v>367</v>
      </c>
      <c r="C85" s="375" t="s">
        <v>375</v>
      </c>
      <c r="D85" s="67"/>
      <c r="E85" s="39" t="s">
        <v>98</v>
      </c>
      <c r="F85" s="388"/>
      <c r="G85" s="345">
        <v>2024</v>
      </c>
      <c r="H85" s="345">
        <v>2024</v>
      </c>
      <c r="I85" s="7">
        <v>3260130</v>
      </c>
      <c r="J85" s="7">
        <v>0</v>
      </c>
      <c r="K85" s="257">
        <f t="shared" si="60"/>
        <v>3260130</v>
      </c>
      <c r="L85" s="7">
        <v>0</v>
      </c>
      <c r="M85" s="147">
        <v>0</v>
      </c>
      <c r="N85" s="257">
        <f t="shared" si="54"/>
        <v>0</v>
      </c>
      <c r="O85" s="7">
        <v>0</v>
      </c>
      <c r="P85" s="147">
        <v>0</v>
      </c>
      <c r="Q85" s="257">
        <f t="shared" si="55"/>
        <v>0</v>
      </c>
      <c r="R85" s="7">
        <v>0</v>
      </c>
      <c r="S85" s="147">
        <v>0</v>
      </c>
      <c r="T85" s="257">
        <f t="shared" si="42"/>
        <v>0</v>
      </c>
      <c r="U85" s="7">
        <v>0</v>
      </c>
      <c r="V85" s="147">
        <v>0</v>
      </c>
      <c r="W85" s="257">
        <f t="shared" si="43"/>
        <v>0</v>
      </c>
      <c r="X85" s="7">
        <v>0</v>
      </c>
      <c r="Y85" s="147">
        <v>0</v>
      </c>
      <c r="Z85" s="257">
        <f t="shared" si="44"/>
        <v>0</v>
      </c>
      <c r="AA85" s="7">
        <v>0</v>
      </c>
      <c r="AB85" s="147">
        <v>0</v>
      </c>
      <c r="AC85" s="257">
        <f t="shared" si="45"/>
        <v>0</v>
      </c>
      <c r="AD85" s="8">
        <f t="shared" si="95"/>
        <v>3260130</v>
      </c>
      <c r="AE85" s="8">
        <f t="shared" si="99"/>
        <v>0</v>
      </c>
      <c r="AF85" s="257">
        <f t="shared" si="100"/>
        <v>3260130</v>
      </c>
      <c r="AG85" s="8">
        <v>3260130</v>
      </c>
      <c r="AH85" s="64">
        <v>0</v>
      </c>
      <c r="AI85" s="257">
        <f t="shared" si="63"/>
        <v>3260130</v>
      </c>
      <c r="AJ85" s="8">
        <v>0</v>
      </c>
      <c r="AK85" s="8">
        <v>0</v>
      </c>
      <c r="AL85" s="64"/>
      <c r="AM85" s="257">
        <f t="shared" ref="AM85:AM91" si="102">AJ85+AK85</f>
        <v>0</v>
      </c>
      <c r="AN85" s="8">
        <v>0</v>
      </c>
      <c r="AO85" s="8">
        <v>0</v>
      </c>
      <c r="AP85" s="257">
        <f t="shared" si="50"/>
        <v>0</v>
      </c>
      <c r="AQ85" s="170">
        <f t="shared" si="11"/>
        <v>0</v>
      </c>
      <c r="AR85" s="47"/>
    </row>
    <row r="86" spans="2:44" ht="52.15" customHeight="1">
      <c r="B86" s="35" t="s">
        <v>366</v>
      </c>
      <c r="C86" s="391" t="s">
        <v>376</v>
      </c>
      <c r="D86" s="67"/>
      <c r="E86" s="39" t="s">
        <v>371</v>
      </c>
      <c r="F86" s="388" t="s">
        <v>370</v>
      </c>
      <c r="G86" s="345">
        <v>2025</v>
      </c>
      <c r="H86" s="345">
        <v>2025</v>
      </c>
      <c r="I86" s="7">
        <v>0</v>
      </c>
      <c r="J86" s="7">
        <v>0</v>
      </c>
      <c r="K86" s="257">
        <f t="shared" si="60"/>
        <v>0</v>
      </c>
      <c r="L86" s="7">
        <v>2173420</v>
      </c>
      <c r="M86" s="147">
        <v>0</v>
      </c>
      <c r="N86" s="257">
        <f t="shared" si="54"/>
        <v>2173420</v>
      </c>
      <c r="O86" s="7">
        <v>0</v>
      </c>
      <c r="P86" s="147">
        <v>0</v>
      </c>
      <c r="Q86" s="257">
        <f t="shared" si="55"/>
        <v>0</v>
      </c>
      <c r="R86" s="7">
        <v>0</v>
      </c>
      <c r="S86" s="147">
        <v>0</v>
      </c>
      <c r="T86" s="257">
        <f t="shared" si="42"/>
        <v>0</v>
      </c>
      <c r="U86" s="7">
        <v>0</v>
      </c>
      <c r="V86" s="147">
        <v>0</v>
      </c>
      <c r="W86" s="257">
        <f t="shared" si="43"/>
        <v>0</v>
      </c>
      <c r="X86" s="7">
        <v>0</v>
      </c>
      <c r="Y86" s="147">
        <v>0</v>
      </c>
      <c r="Z86" s="257">
        <f t="shared" si="44"/>
        <v>0</v>
      </c>
      <c r="AA86" s="7">
        <v>0</v>
      </c>
      <c r="AB86" s="147">
        <v>0</v>
      </c>
      <c r="AC86" s="257">
        <f t="shared" si="45"/>
        <v>0</v>
      </c>
      <c r="AD86" s="8">
        <f t="shared" si="95"/>
        <v>2173420</v>
      </c>
      <c r="AE86" s="8">
        <f t="shared" si="99"/>
        <v>0</v>
      </c>
      <c r="AF86" s="257">
        <f t="shared" si="100"/>
        <v>2173420</v>
      </c>
      <c r="AG86" s="8">
        <v>2173420</v>
      </c>
      <c r="AH86" s="64">
        <v>0</v>
      </c>
      <c r="AI86" s="257">
        <f t="shared" si="63"/>
        <v>2173420</v>
      </c>
      <c r="AJ86" s="8">
        <v>0</v>
      </c>
      <c r="AK86" s="8">
        <v>0</v>
      </c>
      <c r="AL86" s="64"/>
      <c r="AM86" s="257">
        <f t="shared" si="102"/>
        <v>0</v>
      </c>
      <c r="AN86" s="8">
        <v>0</v>
      </c>
      <c r="AO86" s="8">
        <v>0</v>
      </c>
      <c r="AP86" s="257">
        <f t="shared" si="50"/>
        <v>0</v>
      </c>
      <c r="AQ86" s="170">
        <f t="shared" si="11"/>
        <v>0</v>
      </c>
      <c r="AR86" s="47"/>
    </row>
    <row r="87" spans="2:44" ht="90" customHeight="1">
      <c r="B87" s="35" t="s">
        <v>365</v>
      </c>
      <c r="C87" s="391" t="s">
        <v>377</v>
      </c>
      <c r="D87" s="67"/>
      <c r="E87" s="39" t="s">
        <v>371</v>
      </c>
      <c r="F87" s="388" t="s">
        <v>370</v>
      </c>
      <c r="G87" s="345">
        <v>2026</v>
      </c>
      <c r="H87" s="345">
        <v>2026</v>
      </c>
      <c r="I87" s="8">
        <v>0</v>
      </c>
      <c r="J87" s="8">
        <v>0</v>
      </c>
      <c r="K87" s="257">
        <f t="shared" si="60"/>
        <v>0</v>
      </c>
      <c r="L87" s="8">
        <v>0</v>
      </c>
      <c r="M87" s="8">
        <v>0</v>
      </c>
      <c r="N87" s="257">
        <f t="shared" si="54"/>
        <v>0</v>
      </c>
      <c r="O87" s="7">
        <v>1800000</v>
      </c>
      <c r="P87" s="64">
        <v>0</v>
      </c>
      <c r="Q87" s="257">
        <f t="shared" si="55"/>
        <v>1800000</v>
      </c>
      <c r="R87" s="7">
        <v>0</v>
      </c>
      <c r="S87" s="147">
        <v>0</v>
      </c>
      <c r="T87" s="257">
        <f t="shared" si="42"/>
        <v>0</v>
      </c>
      <c r="U87" s="7">
        <v>0</v>
      </c>
      <c r="V87" s="147">
        <v>0</v>
      </c>
      <c r="W87" s="257">
        <f t="shared" si="43"/>
        <v>0</v>
      </c>
      <c r="X87" s="7">
        <v>0</v>
      </c>
      <c r="Y87" s="147">
        <v>0</v>
      </c>
      <c r="Z87" s="257">
        <f t="shared" si="44"/>
        <v>0</v>
      </c>
      <c r="AA87" s="7">
        <v>0</v>
      </c>
      <c r="AB87" s="147">
        <v>0</v>
      </c>
      <c r="AC87" s="257">
        <f t="shared" si="45"/>
        <v>0</v>
      </c>
      <c r="AD87" s="8">
        <f t="shared" si="95"/>
        <v>1800000</v>
      </c>
      <c r="AE87" s="8">
        <f t="shared" si="99"/>
        <v>0</v>
      </c>
      <c r="AF87" s="257">
        <f t="shared" si="100"/>
        <v>1800000</v>
      </c>
      <c r="AG87" s="8">
        <v>1800000</v>
      </c>
      <c r="AH87" s="64">
        <v>0</v>
      </c>
      <c r="AI87" s="257">
        <f t="shared" si="63"/>
        <v>1800000</v>
      </c>
      <c r="AJ87" s="8">
        <v>0</v>
      </c>
      <c r="AK87" s="8">
        <v>0</v>
      </c>
      <c r="AL87" s="64"/>
      <c r="AM87" s="257">
        <f t="shared" si="102"/>
        <v>0</v>
      </c>
      <c r="AN87" s="8">
        <v>0</v>
      </c>
      <c r="AO87" s="64">
        <v>0</v>
      </c>
      <c r="AP87" s="257">
        <f t="shared" si="50"/>
        <v>0</v>
      </c>
      <c r="AQ87" s="170">
        <f t="shared" si="11"/>
        <v>0</v>
      </c>
      <c r="AR87" s="47"/>
    </row>
    <row r="88" spans="2:44" ht="90" customHeight="1">
      <c r="B88" s="35" t="s">
        <v>364</v>
      </c>
      <c r="C88" s="391" t="s">
        <v>378</v>
      </c>
      <c r="D88" s="67"/>
      <c r="E88" s="39" t="s">
        <v>371</v>
      </c>
      <c r="F88" s="388" t="s">
        <v>370</v>
      </c>
      <c r="G88" s="345">
        <v>2027</v>
      </c>
      <c r="H88" s="345">
        <v>2027</v>
      </c>
      <c r="I88" s="8">
        <v>0</v>
      </c>
      <c r="J88" s="8">
        <v>0</v>
      </c>
      <c r="K88" s="257">
        <f t="shared" si="60"/>
        <v>0</v>
      </c>
      <c r="L88" s="8">
        <v>0</v>
      </c>
      <c r="M88" s="8">
        <v>0</v>
      </c>
      <c r="N88" s="257">
        <f t="shared" si="54"/>
        <v>0</v>
      </c>
      <c r="O88" s="7">
        <v>0</v>
      </c>
      <c r="P88" s="64">
        <v>0</v>
      </c>
      <c r="Q88" s="257">
        <f t="shared" si="55"/>
        <v>0</v>
      </c>
      <c r="R88" s="8">
        <v>3260130</v>
      </c>
      <c r="S88" s="64">
        <v>0</v>
      </c>
      <c r="T88" s="257">
        <f t="shared" si="42"/>
        <v>3260130</v>
      </c>
      <c r="U88" s="7">
        <v>0</v>
      </c>
      <c r="V88" s="147">
        <v>0</v>
      </c>
      <c r="W88" s="257">
        <f t="shared" si="43"/>
        <v>0</v>
      </c>
      <c r="X88" s="7">
        <v>0</v>
      </c>
      <c r="Y88" s="147">
        <v>0</v>
      </c>
      <c r="Z88" s="257">
        <f t="shared" si="44"/>
        <v>0</v>
      </c>
      <c r="AA88" s="7">
        <v>0</v>
      </c>
      <c r="AB88" s="147">
        <v>0</v>
      </c>
      <c r="AC88" s="257">
        <f t="shared" si="45"/>
        <v>0</v>
      </c>
      <c r="AD88" s="8">
        <f t="shared" si="95"/>
        <v>3260130</v>
      </c>
      <c r="AE88" s="8">
        <f t="shared" si="99"/>
        <v>0</v>
      </c>
      <c r="AF88" s="257">
        <f t="shared" si="100"/>
        <v>3260130</v>
      </c>
      <c r="AG88" s="8">
        <v>0</v>
      </c>
      <c r="AH88" s="64">
        <v>0</v>
      </c>
      <c r="AI88" s="257">
        <f t="shared" si="63"/>
        <v>0</v>
      </c>
      <c r="AJ88" s="8">
        <v>0</v>
      </c>
      <c r="AK88" s="8">
        <v>0</v>
      </c>
      <c r="AL88" s="64"/>
      <c r="AM88" s="257">
        <f t="shared" si="102"/>
        <v>0</v>
      </c>
      <c r="AN88" s="8">
        <v>3260130</v>
      </c>
      <c r="AO88" s="64">
        <v>0</v>
      </c>
      <c r="AP88" s="257">
        <f t="shared" si="50"/>
        <v>3260130</v>
      </c>
      <c r="AQ88" s="170">
        <f t="shared" si="11"/>
        <v>0</v>
      </c>
      <c r="AR88" s="47"/>
    </row>
    <row r="89" spans="2:44" ht="45.6" customHeight="1">
      <c r="B89" s="35" t="s">
        <v>363</v>
      </c>
      <c r="C89" s="391" t="s">
        <v>379</v>
      </c>
      <c r="D89" s="67"/>
      <c r="E89" s="39" t="s">
        <v>372</v>
      </c>
      <c r="F89" s="388"/>
      <c r="G89" s="345">
        <v>2024</v>
      </c>
      <c r="H89" s="345">
        <v>2024</v>
      </c>
      <c r="I89" s="7">
        <v>2173420</v>
      </c>
      <c r="J89" s="7">
        <v>0</v>
      </c>
      <c r="K89" s="257">
        <f t="shared" si="60"/>
        <v>2173420</v>
      </c>
      <c r="L89" s="8">
        <v>0</v>
      </c>
      <c r="M89" s="8">
        <v>0</v>
      </c>
      <c r="N89" s="257">
        <f t="shared" si="54"/>
        <v>0</v>
      </c>
      <c r="O89" s="8">
        <v>0</v>
      </c>
      <c r="P89" s="8">
        <v>0</v>
      </c>
      <c r="Q89" s="257">
        <f t="shared" si="55"/>
        <v>0</v>
      </c>
      <c r="R89" s="8">
        <v>0</v>
      </c>
      <c r="S89" s="8">
        <v>0</v>
      </c>
      <c r="T89" s="257">
        <f t="shared" si="42"/>
        <v>0</v>
      </c>
      <c r="U89" s="8">
        <v>0</v>
      </c>
      <c r="V89" s="8">
        <v>0</v>
      </c>
      <c r="W89" s="257">
        <f t="shared" si="43"/>
        <v>0</v>
      </c>
      <c r="X89" s="8">
        <v>0</v>
      </c>
      <c r="Y89" s="8">
        <v>0</v>
      </c>
      <c r="Z89" s="257">
        <f t="shared" si="44"/>
        <v>0</v>
      </c>
      <c r="AA89" s="8">
        <v>0</v>
      </c>
      <c r="AB89" s="8">
        <v>0</v>
      </c>
      <c r="AC89" s="257">
        <f t="shared" si="45"/>
        <v>0</v>
      </c>
      <c r="AD89" s="8">
        <f t="shared" si="95"/>
        <v>2173420</v>
      </c>
      <c r="AE89" s="8">
        <f t="shared" si="99"/>
        <v>0</v>
      </c>
      <c r="AF89" s="257">
        <f t="shared" si="100"/>
        <v>2173420</v>
      </c>
      <c r="AG89" s="8">
        <v>2173420</v>
      </c>
      <c r="AH89" s="64">
        <v>0</v>
      </c>
      <c r="AI89" s="257">
        <f t="shared" si="63"/>
        <v>2173420</v>
      </c>
      <c r="AJ89" s="8">
        <v>0</v>
      </c>
      <c r="AK89" s="8">
        <v>0</v>
      </c>
      <c r="AL89" s="64"/>
      <c r="AM89" s="257">
        <f t="shared" si="102"/>
        <v>0</v>
      </c>
      <c r="AN89" s="8">
        <v>0</v>
      </c>
      <c r="AO89" s="64">
        <v>0</v>
      </c>
      <c r="AP89" s="257">
        <f t="shared" si="50"/>
        <v>0</v>
      </c>
      <c r="AQ89" s="170">
        <f t="shared" si="11"/>
        <v>0</v>
      </c>
      <c r="AR89" s="47"/>
    </row>
    <row r="90" spans="2:44" ht="90" customHeight="1">
      <c r="B90" s="35" t="s">
        <v>362</v>
      </c>
      <c r="C90" s="391" t="s">
        <v>380</v>
      </c>
      <c r="D90" s="67"/>
      <c r="E90" s="39" t="s">
        <v>372</v>
      </c>
      <c r="F90" s="388"/>
      <c r="G90" s="345">
        <v>2025</v>
      </c>
      <c r="H90" s="345">
        <v>2025</v>
      </c>
      <c r="I90" s="7">
        <v>0</v>
      </c>
      <c r="J90" s="7">
        <v>0</v>
      </c>
      <c r="K90" s="257">
        <f t="shared" si="60"/>
        <v>0</v>
      </c>
      <c r="L90" s="7">
        <v>1800000</v>
      </c>
      <c r="M90" s="147">
        <v>0</v>
      </c>
      <c r="N90" s="257">
        <f t="shared" si="54"/>
        <v>1800000</v>
      </c>
      <c r="O90" s="8">
        <v>0</v>
      </c>
      <c r="P90" s="8">
        <v>0</v>
      </c>
      <c r="Q90" s="257">
        <f t="shared" si="55"/>
        <v>0</v>
      </c>
      <c r="R90" s="8">
        <v>0</v>
      </c>
      <c r="S90" s="8">
        <v>0</v>
      </c>
      <c r="T90" s="257">
        <f t="shared" si="42"/>
        <v>0</v>
      </c>
      <c r="U90" s="8">
        <v>0</v>
      </c>
      <c r="V90" s="8">
        <v>0</v>
      </c>
      <c r="W90" s="257">
        <f t="shared" si="43"/>
        <v>0</v>
      </c>
      <c r="X90" s="8">
        <v>0</v>
      </c>
      <c r="Y90" s="8">
        <v>0</v>
      </c>
      <c r="Z90" s="257">
        <f t="shared" si="44"/>
        <v>0</v>
      </c>
      <c r="AA90" s="8">
        <v>0</v>
      </c>
      <c r="AB90" s="8">
        <v>0</v>
      </c>
      <c r="AC90" s="257">
        <f t="shared" si="45"/>
        <v>0</v>
      </c>
      <c r="AD90" s="8">
        <f t="shared" si="95"/>
        <v>1800000</v>
      </c>
      <c r="AE90" s="8">
        <f t="shared" si="99"/>
        <v>0</v>
      </c>
      <c r="AF90" s="257">
        <f t="shared" si="100"/>
        <v>1800000</v>
      </c>
      <c r="AG90" s="8">
        <v>1800000</v>
      </c>
      <c r="AH90" s="64">
        <v>0</v>
      </c>
      <c r="AI90" s="257">
        <f t="shared" si="63"/>
        <v>1800000</v>
      </c>
      <c r="AJ90" s="8">
        <v>0</v>
      </c>
      <c r="AK90" s="8">
        <v>0</v>
      </c>
      <c r="AL90" s="64"/>
      <c r="AM90" s="257">
        <f t="shared" si="102"/>
        <v>0</v>
      </c>
      <c r="AN90" s="8">
        <v>0</v>
      </c>
      <c r="AO90" s="64">
        <v>0</v>
      </c>
      <c r="AP90" s="257">
        <f t="shared" si="50"/>
        <v>0</v>
      </c>
      <c r="AQ90" s="170">
        <f t="shared" si="11"/>
        <v>0</v>
      </c>
      <c r="AR90" s="47"/>
    </row>
    <row r="91" spans="2:44" ht="90" customHeight="1">
      <c r="B91" s="35" t="s">
        <v>361</v>
      </c>
      <c r="C91" s="392" t="s">
        <v>381</v>
      </c>
      <c r="D91" s="67"/>
      <c r="E91" s="167" t="s">
        <v>372</v>
      </c>
      <c r="F91" s="395"/>
      <c r="G91" s="346">
        <v>2026</v>
      </c>
      <c r="H91" s="346">
        <v>2026</v>
      </c>
      <c r="I91" s="7">
        <v>0</v>
      </c>
      <c r="J91" s="7">
        <v>0</v>
      </c>
      <c r="K91" s="257">
        <f t="shared" si="60"/>
        <v>0</v>
      </c>
      <c r="L91" s="7">
        <v>0</v>
      </c>
      <c r="M91" s="147">
        <v>0</v>
      </c>
      <c r="N91" s="257">
        <f t="shared" si="54"/>
        <v>0</v>
      </c>
      <c r="O91" s="7">
        <v>3260130</v>
      </c>
      <c r="P91" s="64">
        <v>0</v>
      </c>
      <c r="Q91" s="257">
        <f t="shared" si="55"/>
        <v>3260130</v>
      </c>
      <c r="R91" s="8">
        <v>0</v>
      </c>
      <c r="S91" s="64">
        <v>0</v>
      </c>
      <c r="T91" s="257">
        <f t="shared" si="42"/>
        <v>0</v>
      </c>
      <c r="U91" s="8">
        <v>0</v>
      </c>
      <c r="V91" s="64">
        <v>0</v>
      </c>
      <c r="W91" s="257">
        <f t="shared" si="43"/>
        <v>0</v>
      </c>
      <c r="X91" s="64">
        <v>0</v>
      </c>
      <c r="Y91" s="64">
        <v>0</v>
      </c>
      <c r="Z91" s="257">
        <f t="shared" si="44"/>
        <v>0</v>
      </c>
      <c r="AA91" s="64">
        <v>0</v>
      </c>
      <c r="AB91" s="64">
        <v>0</v>
      </c>
      <c r="AC91" s="257">
        <f t="shared" si="45"/>
        <v>0</v>
      </c>
      <c r="AD91" s="8">
        <f t="shared" si="95"/>
        <v>3260130</v>
      </c>
      <c r="AE91" s="8">
        <f t="shared" si="99"/>
        <v>0</v>
      </c>
      <c r="AF91" s="257">
        <f t="shared" si="100"/>
        <v>3260130</v>
      </c>
      <c r="AG91" s="8">
        <v>3260130</v>
      </c>
      <c r="AH91" s="64">
        <v>0</v>
      </c>
      <c r="AI91" s="257">
        <f t="shared" si="63"/>
        <v>3260130</v>
      </c>
      <c r="AJ91" s="8">
        <v>0</v>
      </c>
      <c r="AK91" s="8">
        <v>0</v>
      </c>
      <c r="AL91" s="64"/>
      <c r="AM91" s="257">
        <f t="shared" si="102"/>
        <v>0</v>
      </c>
      <c r="AN91" s="8">
        <v>0</v>
      </c>
      <c r="AO91" s="64">
        <v>0</v>
      </c>
      <c r="AP91" s="257">
        <f t="shared" si="50"/>
        <v>0</v>
      </c>
      <c r="AQ91" s="170">
        <f t="shared" si="11"/>
        <v>0</v>
      </c>
      <c r="AR91" s="47"/>
    </row>
    <row r="92" spans="2:44" ht="90" customHeight="1">
      <c r="B92" s="210" t="s">
        <v>382</v>
      </c>
      <c r="C92" s="394" t="s">
        <v>1632</v>
      </c>
      <c r="D92" s="184"/>
      <c r="E92" s="192" t="s">
        <v>1631</v>
      </c>
      <c r="F92" s="192"/>
      <c r="G92" s="342">
        <v>2024</v>
      </c>
      <c r="H92" s="342">
        <v>2025</v>
      </c>
      <c r="I92" s="189">
        <f>SUM(I93:I96)</f>
        <v>1326710</v>
      </c>
      <c r="J92" s="189">
        <f>SUM(J93:J96)</f>
        <v>0</v>
      </c>
      <c r="K92" s="190">
        <f t="shared" si="60"/>
        <v>1326710</v>
      </c>
      <c r="L92" s="189">
        <f t="shared" ref="L92:M92" si="103">SUM(L93:L96)</f>
        <v>3973420</v>
      </c>
      <c r="M92" s="363">
        <f t="shared" si="103"/>
        <v>0</v>
      </c>
      <c r="N92" s="190">
        <f t="shared" si="54"/>
        <v>3973420</v>
      </c>
      <c r="O92" s="189">
        <f t="shared" ref="O92:P92" si="104">SUM(O93:O96)</f>
        <v>0</v>
      </c>
      <c r="P92" s="190">
        <f t="shared" si="104"/>
        <v>0</v>
      </c>
      <c r="Q92" s="190">
        <f t="shared" si="55"/>
        <v>0</v>
      </c>
      <c r="R92" s="190">
        <f t="shared" ref="R92:S92" si="105">SUM(R93:R96)</f>
        <v>0</v>
      </c>
      <c r="S92" s="190">
        <f t="shared" si="105"/>
        <v>0</v>
      </c>
      <c r="T92" s="190">
        <f>R92+S92</f>
        <v>0</v>
      </c>
      <c r="U92" s="190">
        <f t="shared" ref="U92:V92" si="106">SUM(U93:U96)</f>
        <v>0</v>
      </c>
      <c r="V92" s="190">
        <f t="shared" si="106"/>
        <v>0</v>
      </c>
      <c r="W92" s="190">
        <f t="shared" si="43"/>
        <v>0</v>
      </c>
      <c r="X92" s="190">
        <f t="shared" ref="X92:Y92" si="107">SUM(X93:X96)</f>
        <v>0</v>
      </c>
      <c r="Y92" s="190">
        <f t="shared" si="107"/>
        <v>0</v>
      </c>
      <c r="Z92" s="190">
        <f t="shared" si="44"/>
        <v>0</v>
      </c>
      <c r="AA92" s="190">
        <f t="shared" ref="AA92:AB92" si="108">SUM(AA93:AA96)</f>
        <v>0</v>
      </c>
      <c r="AB92" s="190">
        <f t="shared" si="108"/>
        <v>0</v>
      </c>
      <c r="AC92" s="190">
        <f t="shared" ref="AC92:AC112" si="109">AA92+AB92</f>
        <v>0</v>
      </c>
      <c r="AD92" s="190">
        <f t="shared" ref="AD92:AD96" si="110">I92+L92+O92+R92+U92+X92+AA92</f>
        <v>5300130</v>
      </c>
      <c r="AE92" s="190">
        <f>J92+M92+P92+S92+V92+Y92+AB92</f>
        <v>0</v>
      </c>
      <c r="AF92" s="190">
        <f>AD92+AE92</f>
        <v>5300130</v>
      </c>
      <c r="AG92" s="190">
        <f t="shared" ref="AG92:AH92" si="111">SUM(AG93:AG96)</f>
        <v>5300130</v>
      </c>
      <c r="AH92" s="190">
        <f t="shared" si="111"/>
        <v>0</v>
      </c>
      <c r="AI92" s="190">
        <f t="shared" si="63"/>
        <v>5300130</v>
      </c>
      <c r="AJ92" s="190">
        <f t="shared" ref="AJ92:AK92" si="112">SUM(AJ93:AJ96)</f>
        <v>0</v>
      </c>
      <c r="AK92" s="190">
        <f t="shared" si="112"/>
        <v>0</v>
      </c>
      <c r="AL92" s="190"/>
      <c r="AM92" s="190">
        <f>AJ92+AK92</f>
        <v>0</v>
      </c>
      <c r="AN92" s="190">
        <f t="shared" ref="AN92:AO92" si="113">SUM(AN93:AN96)</f>
        <v>0</v>
      </c>
      <c r="AO92" s="190">
        <f t="shared" si="113"/>
        <v>0</v>
      </c>
      <c r="AP92" s="190">
        <f t="shared" si="50"/>
        <v>0</v>
      </c>
      <c r="AQ92" s="211">
        <f t="shared" si="11"/>
        <v>0</v>
      </c>
      <c r="AR92" s="47"/>
    </row>
    <row r="93" spans="2:44" ht="90" customHeight="1">
      <c r="B93" s="35" t="s">
        <v>387</v>
      </c>
      <c r="C93" s="375" t="s">
        <v>383</v>
      </c>
      <c r="D93" s="67"/>
      <c r="E93" s="325" t="s">
        <v>1630</v>
      </c>
      <c r="F93" s="809"/>
      <c r="G93" s="810">
        <v>2024</v>
      </c>
      <c r="H93" s="810">
        <v>2024</v>
      </c>
      <c r="I93" s="7">
        <v>1086710</v>
      </c>
      <c r="J93" s="7">
        <v>0</v>
      </c>
      <c r="K93" s="8">
        <f t="shared" si="60"/>
        <v>1086710</v>
      </c>
      <c r="L93" s="7">
        <v>0</v>
      </c>
      <c r="M93" s="147">
        <v>0</v>
      </c>
      <c r="N93" s="8">
        <f t="shared" si="54"/>
        <v>0</v>
      </c>
      <c r="O93" s="7">
        <v>0</v>
      </c>
      <c r="P93" s="147">
        <v>0</v>
      </c>
      <c r="Q93" s="8">
        <f t="shared" si="55"/>
        <v>0</v>
      </c>
      <c r="R93" s="7">
        <v>0</v>
      </c>
      <c r="S93" s="147">
        <v>0</v>
      </c>
      <c r="T93" s="8">
        <f t="shared" ref="T93:T112" si="114">R93+S93</f>
        <v>0</v>
      </c>
      <c r="U93" s="7">
        <v>0</v>
      </c>
      <c r="V93" s="147">
        <v>0</v>
      </c>
      <c r="W93" s="8">
        <f t="shared" si="43"/>
        <v>0</v>
      </c>
      <c r="X93" s="7">
        <v>0</v>
      </c>
      <c r="Y93" s="147">
        <v>0</v>
      </c>
      <c r="Z93" s="8">
        <f t="shared" si="44"/>
        <v>0</v>
      </c>
      <c r="AA93" s="7">
        <v>0</v>
      </c>
      <c r="AB93" s="147">
        <v>0</v>
      </c>
      <c r="AC93" s="8">
        <f t="shared" si="109"/>
        <v>0</v>
      </c>
      <c r="AD93" s="8">
        <f t="shared" si="110"/>
        <v>1086710</v>
      </c>
      <c r="AE93" s="8"/>
      <c r="AF93" s="8">
        <f t="shared" ref="AF93:AF96" si="115">AD93+AE93</f>
        <v>1086710</v>
      </c>
      <c r="AG93" s="8">
        <v>1086710</v>
      </c>
      <c r="AH93" s="8">
        <v>0</v>
      </c>
      <c r="AI93" s="8">
        <f t="shared" si="63"/>
        <v>1086710</v>
      </c>
      <c r="AJ93" s="8">
        <v>0</v>
      </c>
      <c r="AK93" s="8">
        <v>0</v>
      </c>
      <c r="AL93" s="8"/>
      <c r="AM93" s="8">
        <f t="shared" ref="AM93:AM96" si="116">AJ93+AK93</f>
        <v>0</v>
      </c>
      <c r="AN93" s="8">
        <v>0</v>
      </c>
      <c r="AO93" s="8">
        <v>0</v>
      </c>
      <c r="AP93" s="8">
        <f t="shared" si="50"/>
        <v>0</v>
      </c>
      <c r="AQ93" s="299">
        <f t="shared" si="11"/>
        <v>0</v>
      </c>
      <c r="AR93" s="47"/>
    </row>
    <row r="94" spans="2:44" ht="90" customHeight="1">
      <c r="B94" s="35" t="s">
        <v>388</v>
      </c>
      <c r="C94" s="353" t="s">
        <v>384</v>
      </c>
      <c r="D94" s="67"/>
      <c r="E94" s="39" t="s">
        <v>391</v>
      </c>
      <c r="F94" s="393"/>
      <c r="G94" s="345">
        <v>2025</v>
      </c>
      <c r="H94" s="345">
        <v>2025</v>
      </c>
      <c r="I94" s="7">
        <v>0</v>
      </c>
      <c r="J94" s="7">
        <v>0</v>
      </c>
      <c r="K94" s="257">
        <f t="shared" si="60"/>
        <v>0</v>
      </c>
      <c r="L94" s="7">
        <v>2173420</v>
      </c>
      <c r="M94" s="147">
        <v>0</v>
      </c>
      <c r="N94" s="257">
        <f t="shared" si="54"/>
        <v>2173420</v>
      </c>
      <c r="O94" s="7">
        <v>0</v>
      </c>
      <c r="P94" s="147">
        <v>0</v>
      </c>
      <c r="Q94" s="257">
        <f t="shared" si="55"/>
        <v>0</v>
      </c>
      <c r="R94" s="7">
        <v>0</v>
      </c>
      <c r="S94" s="147">
        <v>0</v>
      </c>
      <c r="T94" s="257">
        <f t="shared" si="114"/>
        <v>0</v>
      </c>
      <c r="U94" s="7">
        <v>0</v>
      </c>
      <c r="V94" s="147">
        <v>0</v>
      </c>
      <c r="W94" s="257">
        <f t="shared" si="43"/>
        <v>0</v>
      </c>
      <c r="X94" s="7">
        <v>0</v>
      </c>
      <c r="Y94" s="147">
        <v>0</v>
      </c>
      <c r="Z94" s="257">
        <f t="shared" si="44"/>
        <v>0</v>
      </c>
      <c r="AA94" s="7">
        <v>0</v>
      </c>
      <c r="AB94" s="147">
        <v>0</v>
      </c>
      <c r="AC94" s="257">
        <f t="shared" si="109"/>
        <v>0</v>
      </c>
      <c r="AD94" s="8">
        <f t="shared" si="110"/>
        <v>2173420</v>
      </c>
      <c r="AE94" s="8"/>
      <c r="AF94" s="257">
        <f t="shared" si="115"/>
        <v>2173420</v>
      </c>
      <c r="AG94" s="8">
        <v>2173420</v>
      </c>
      <c r="AH94" s="64">
        <v>0</v>
      </c>
      <c r="AI94" s="257">
        <f t="shared" si="63"/>
        <v>2173420</v>
      </c>
      <c r="AJ94" s="8">
        <v>0</v>
      </c>
      <c r="AK94" s="8">
        <v>0</v>
      </c>
      <c r="AL94" s="64"/>
      <c r="AM94" s="257">
        <f t="shared" si="116"/>
        <v>0</v>
      </c>
      <c r="AN94" s="8">
        <v>0</v>
      </c>
      <c r="AO94" s="64">
        <v>0</v>
      </c>
      <c r="AP94" s="257">
        <f t="shared" si="50"/>
        <v>0</v>
      </c>
      <c r="AQ94" s="170">
        <f t="shared" si="11"/>
        <v>0</v>
      </c>
      <c r="AR94" s="47"/>
    </row>
    <row r="95" spans="2:44" ht="42" customHeight="1">
      <c r="B95" s="35" t="s">
        <v>389</v>
      </c>
      <c r="C95" s="353" t="s">
        <v>385</v>
      </c>
      <c r="D95" s="67"/>
      <c r="E95" s="39" t="s">
        <v>69</v>
      </c>
      <c r="F95" s="393"/>
      <c r="G95" s="345">
        <v>2024</v>
      </c>
      <c r="H95" s="345">
        <v>2024</v>
      </c>
      <c r="I95" s="7">
        <v>240000</v>
      </c>
      <c r="J95" s="7">
        <v>0</v>
      </c>
      <c r="K95" s="257">
        <f t="shared" si="60"/>
        <v>240000</v>
      </c>
      <c r="L95" s="7">
        <v>0</v>
      </c>
      <c r="M95" s="147">
        <v>0</v>
      </c>
      <c r="N95" s="257">
        <f t="shared" si="54"/>
        <v>0</v>
      </c>
      <c r="O95" s="7">
        <v>0</v>
      </c>
      <c r="P95" s="147">
        <v>0</v>
      </c>
      <c r="Q95" s="257">
        <f t="shared" si="55"/>
        <v>0</v>
      </c>
      <c r="R95" s="7">
        <v>0</v>
      </c>
      <c r="S95" s="147">
        <v>0</v>
      </c>
      <c r="T95" s="257">
        <f t="shared" si="114"/>
        <v>0</v>
      </c>
      <c r="U95" s="7">
        <v>0</v>
      </c>
      <c r="V95" s="147">
        <v>0</v>
      </c>
      <c r="W95" s="257">
        <f t="shared" si="43"/>
        <v>0</v>
      </c>
      <c r="X95" s="7">
        <v>0</v>
      </c>
      <c r="Y95" s="147">
        <v>0</v>
      </c>
      <c r="Z95" s="257">
        <f t="shared" si="44"/>
        <v>0</v>
      </c>
      <c r="AA95" s="7">
        <v>0</v>
      </c>
      <c r="AB95" s="147">
        <v>0</v>
      </c>
      <c r="AC95" s="257">
        <f t="shared" si="109"/>
        <v>0</v>
      </c>
      <c r="AD95" s="8">
        <f t="shared" si="110"/>
        <v>240000</v>
      </c>
      <c r="AE95" s="8"/>
      <c r="AF95" s="257">
        <f t="shared" si="115"/>
        <v>240000</v>
      </c>
      <c r="AG95" s="8">
        <v>240000</v>
      </c>
      <c r="AH95" s="64">
        <v>0</v>
      </c>
      <c r="AI95" s="257">
        <f t="shared" si="63"/>
        <v>240000</v>
      </c>
      <c r="AJ95" s="8">
        <v>0</v>
      </c>
      <c r="AK95" s="8">
        <v>0</v>
      </c>
      <c r="AL95" s="64"/>
      <c r="AM95" s="257">
        <f t="shared" si="116"/>
        <v>0</v>
      </c>
      <c r="AN95" s="8">
        <v>0</v>
      </c>
      <c r="AO95" s="64">
        <v>0</v>
      </c>
      <c r="AP95" s="257">
        <f t="shared" si="50"/>
        <v>0</v>
      </c>
      <c r="AQ95" s="170">
        <f t="shared" si="11"/>
        <v>0</v>
      </c>
      <c r="AR95" s="47"/>
    </row>
    <row r="96" spans="2:44" ht="60.6" customHeight="1">
      <c r="B96" s="88" t="s">
        <v>390</v>
      </c>
      <c r="C96" s="354" t="s">
        <v>386</v>
      </c>
      <c r="D96" s="361"/>
      <c r="E96" s="167" t="s">
        <v>392</v>
      </c>
      <c r="F96" s="393"/>
      <c r="G96" s="346">
        <v>2025</v>
      </c>
      <c r="H96" s="346">
        <v>2025</v>
      </c>
      <c r="I96" s="7">
        <v>0</v>
      </c>
      <c r="J96" s="7">
        <v>0</v>
      </c>
      <c r="K96" s="257">
        <f t="shared" si="60"/>
        <v>0</v>
      </c>
      <c r="L96" s="7">
        <v>1800000</v>
      </c>
      <c r="M96" s="147">
        <v>0</v>
      </c>
      <c r="N96" s="257">
        <f t="shared" si="54"/>
        <v>1800000</v>
      </c>
      <c r="O96" s="7">
        <v>0</v>
      </c>
      <c r="P96" s="147">
        <v>0</v>
      </c>
      <c r="Q96" s="257">
        <f t="shared" si="55"/>
        <v>0</v>
      </c>
      <c r="R96" s="7">
        <v>0</v>
      </c>
      <c r="S96" s="147">
        <v>0</v>
      </c>
      <c r="T96" s="257">
        <f t="shared" si="114"/>
        <v>0</v>
      </c>
      <c r="U96" s="7">
        <v>0</v>
      </c>
      <c r="V96" s="147">
        <v>0</v>
      </c>
      <c r="W96" s="257">
        <f t="shared" si="43"/>
        <v>0</v>
      </c>
      <c r="X96" s="7">
        <v>0</v>
      </c>
      <c r="Y96" s="147">
        <v>0</v>
      </c>
      <c r="Z96" s="257">
        <f t="shared" si="44"/>
        <v>0</v>
      </c>
      <c r="AA96" s="7">
        <v>0</v>
      </c>
      <c r="AB96" s="147">
        <v>0</v>
      </c>
      <c r="AC96" s="257">
        <f t="shared" si="109"/>
        <v>0</v>
      </c>
      <c r="AD96" s="8">
        <f t="shared" si="110"/>
        <v>1800000</v>
      </c>
      <c r="AE96" s="8"/>
      <c r="AF96" s="257">
        <f t="shared" si="115"/>
        <v>1800000</v>
      </c>
      <c r="AG96" s="8">
        <v>1800000</v>
      </c>
      <c r="AH96" s="64">
        <v>0</v>
      </c>
      <c r="AI96" s="257">
        <f t="shared" si="63"/>
        <v>1800000</v>
      </c>
      <c r="AJ96" s="8">
        <v>0</v>
      </c>
      <c r="AK96" s="8">
        <v>0</v>
      </c>
      <c r="AL96" s="64"/>
      <c r="AM96" s="257">
        <f t="shared" si="116"/>
        <v>0</v>
      </c>
      <c r="AN96" s="8">
        <v>0</v>
      </c>
      <c r="AO96" s="64">
        <v>0</v>
      </c>
      <c r="AP96" s="257">
        <f t="shared" si="50"/>
        <v>0</v>
      </c>
      <c r="AQ96" s="170">
        <f t="shared" si="11"/>
        <v>0</v>
      </c>
      <c r="AR96" s="47"/>
    </row>
    <row r="97" spans="2:44" ht="90" customHeight="1" thickBot="1">
      <c r="B97" s="210" t="s">
        <v>393</v>
      </c>
      <c r="C97" s="397" t="s">
        <v>394</v>
      </c>
      <c r="D97" s="184"/>
      <c r="E97" s="192" t="s">
        <v>402</v>
      </c>
      <c r="F97" s="192"/>
      <c r="G97" s="342">
        <v>2025</v>
      </c>
      <c r="H97" s="342">
        <v>2026</v>
      </c>
      <c r="I97" s="189">
        <f>SUM(I98:I101)</f>
        <v>0</v>
      </c>
      <c r="J97" s="189">
        <f>SUM(J98:J101)</f>
        <v>0</v>
      </c>
      <c r="K97" s="190">
        <f t="shared" si="60"/>
        <v>0</v>
      </c>
      <c r="L97" s="189">
        <f t="shared" ref="L97" si="117">SUM(L98:L101)</f>
        <v>4586840</v>
      </c>
      <c r="M97" s="363">
        <f t="shared" ref="M97" si="118">SUM(M98:M101)</f>
        <v>0</v>
      </c>
      <c r="N97" s="190">
        <f t="shared" si="54"/>
        <v>4586840</v>
      </c>
      <c r="O97" s="189">
        <f t="shared" ref="O97" si="119">SUM(O98:O101)</f>
        <v>1800000</v>
      </c>
      <c r="P97" s="190">
        <f t="shared" ref="P97" si="120">SUM(P98:P101)</f>
        <v>0</v>
      </c>
      <c r="Q97" s="190">
        <f t="shared" si="55"/>
        <v>1800000</v>
      </c>
      <c r="R97" s="190">
        <f t="shared" ref="R97" si="121">SUM(R98:R101)</f>
        <v>0</v>
      </c>
      <c r="S97" s="190">
        <f t="shared" ref="S97" si="122">SUM(S98:S101)</f>
        <v>0</v>
      </c>
      <c r="T97" s="190">
        <f t="shared" si="114"/>
        <v>0</v>
      </c>
      <c r="U97" s="190">
        <f t="shared" ref="U97" si="123">SUM(U98:U101)</f>
        <v>0</v>
      </c>
      <c r="V97" s="190">
        <f t="shared" ref="V97" si="124">SUM(V98:V101)</f>
        <v>0</v>
      </c>
      <c r="W97" s="190">
        <f t="shared" si="43"/>
        <v>0</v>
      </c>
      <c r="X97" s="190">
        <f t="shared" ref="X97" si="125">SUM(X98:X101)</f>
        <v>0</v>
      </c>
      <c r="Y97" s="190">
        <f t="shared" ref="Y97" si="126">SUM(Y98:Y101)</f>
        <v>0</v>
      </c>
      <c r="Z97" s="190">
        <f t="shared" si="44"/>
        <v>0</v>
      </c>
      <c r="AA97" s="190">
        <f t="shared" ref="AA97" si="127">SUM(AA98:AA101)</f>
        <v>0</v>
      </c>
      <c r="AB97" s="190">
        <f t="shared" ref="AB97" si="128">SUM(AB98:AB101)</f>
        <v>0</v>
      </c>
      <c r="AC97" s="190">
        <f t="shared" si="109"/>
        <v>0</v>
      </c>
      <c r="AD97" s="190">
        <f t="shared" ref="AD97:AD101" si="129">I97+L97+O97+R97+U97+X97+AA97</f>
        <v>6386840</v>
      </c>
      <c r="AE97" s="190">
        <f>J97+M97+P97+S97+V97+Y97+AB97</f>
        <v>0</v>
      </c>
      <c r="AF97" s="190">
        <f>AD97+AE97</f>
        <v>6386840</v>
      </c>
      <c r="AG97" s="190">
        <f t="shared" ref="AG97" si="130">SUM(AG98:AG101)</f>
        <v>6386840</v>
      </c>
      <c r="AH97" s="190">
        <f t="shared" ref="AH97" si="131">SUM(AH98:AH101)</f>
        <v>0</v>
      </c>
      <c r="AI97" s="190">
        <f t="shared" si="63"/>
        <v>6386840</v>
      </c>
      <c r="AJ97" s="190">
        <f t="shared" ref="AJ97" si="132">SUM(AJ98:AJ101)</f>
        <v>0</v>
      </c>
      <c r="AK97" s="190">
        <f t="shared" ref="AK97" si="133">SUM(AK98:AK101)</f>
        <v>0</v>
      </c>
      <c r="AL97" s="190"/>
      <c r="AM97" s="190">
        <f>AJ97+AK97</f>
        <v>0</v>
      </c>
      <c r="AN97" s="190">
        <f t="shared" ref="AN97" si="134">SUM(AN98:AN101)</f>
        <v>0</v>
      </c>
      <c r="AO97" s="190">
        <f t="shared" ref="AO97" si="135">SUM(AO98:AO101)</f>
        <v>0</v>
      </c>
      <c r="AP97" s="190">
        <f t="shared" si="50"/>
        <v>0</v>
      </c>
      <c r="AQ97" s="211">
        <f t="shared" si="11"/>
        <v>0</v>
      </c>
      <c r="AR97" s="47"/>
    </row>
    <row r="98" spans="2:44" ht="90" customHeight="1">
      <c r="B98" s="87" t="s">
        <v>395</v>
      </c>
      <c r="C98" s="811" t="s">
        <v>399</v>
      </c>
      <c r="D98" s="396"/>
      <c r="E98" s="329" t="s">
        <v>125</v>
      </c>
      <c r="F98" s="809"/>
      <c r="G98" s="810">
        <v>2025</v>
      </c>
      <c r="H98" s="810">
        <v>2025</v>
      </c>
      <c r="I98" s="7">
        <v>0</v>
      </c>
      <c r="J98" s="7">
        <v>0</v>
      </c>
      <c r="K98" s="8">
        <f t="shared" si="60"/>
        <v>0</v>
      </c>
      <c r="L98" s="7">
        <v>3260130</v>
      </c>
      <c r="M98" s="147">
        <v>0</v>
      </c>
      <c r="N98" s="8">
        <f t="shared" si="54"/>
        <v>3260130</v>
      </c>
      <c r="O98" s="7">
        <v>0</v>
      </c>
      <c r="P98" s="7">
        <v>0</v>
      </c>
      <c r="Q98" s="8">
        <f t="shared" si="55"/>
        <v>0</v>
      </c>
      <c r="R98" s="7">
        <v>0</v>
      </c>
      <c r="S98" s="7">
        <v>0</v>
      </c>
      <c r="T98" s="8">
        <f t="shared" si="114"/>
        <v>0</v>
      </c>
      <c r="U98" s="7">
        <v>0</v>
      </c>
      <c r="V98" s="7">
        <v>0</v>
      </c>
      <c r="W98" s="8">
        <f t="shared" si="43"/>
        <v>0</v>
      </c>
      <c r="X98" s="7">
        <v>0</v>
      </c>
      <c r="Y98" s="7">
        <v>0</v>
      </c>
      <c r="Z98" s="8">
        <f t="shared" si="44"/>
        <v>0</v>
      </c>
      <c r="AA98" s="7">
        <v>0</v>
      </c>
      <c r="AB98" s="7">
        <v>0</v>
      </c>
      <c r="AC98" s="8">
        <f t="shared" si="109"/>
        <v>0</v>
      </c>
      <c r="AD98" s="8">
        <f t="shared" si="129"/>
        <v>3260130</v>
      </c>
      <c r="AE98" s="8">
        <f t="shared" ref="AE98:AE101" si="136">J98+M98+P98+S98+V98+Y98+AB98</f>
        <v>0</v>
      </c>
      <c r="AF98" s="8">
        <f t="shared" ref="AF98:AF101" si="137">AD98+AE98</f>
        <v>3260130</v>
      </c>
      <c r="AG98" s="8">
        <v>3260130</v>
      </c>
      <c r="AH98" s="8">
        <v>0</v>
      </c>
      <c r="AI98" s="8">
        <f t="shared" si="63"/>
        <v>3260130</v>
      </c>
      <c r="AJ98" s="8">
        <v>0</v>
      </c>
      <c r="AK98" s="8">
        <v>0</v>
      </c>
      <c r="AL98" s="8"/>
      <c r="AM98" s="8">
        <f t="shared" ref="AM98:AM101" si="138">AJ98+AK98</f>
        <v>0</v>
      </c>
      <c r="AN98" s="8">
        <v>0</v>
      </c>
      <c r="AO98" s="8">
        <v>0</v>
      </c>
      <c r="AP98" s="8">
        <f t="shared" si="50"/>
        <v>0</v>
      </c>
      <c r="AQ98" s="299">
        <f t="shared" si="11"/>
        <v>0</v>
      </c>
      <c r="AR98" s="47"/>
    </row>
    <row r="99" spans="2:44" ht="90" customHeight="1">
      <c r="B99" s="35" t="s">
        <v>396</v>
      </c>
      <c r="C99" s="353" t="s">
        <v>401</v>
      </c>
      <c r="D99" s="67"/>
      <c r="E99" s="330" t="s">
        <v>1638</v>
      </c>
      <c r="F99" s="393"/>
      <c r="G99" s="804">
        <v>2025</v>
      </c>
      <c r="H99" s="804">
        <v>2025</v>
      </c>
      <c r="I99" s="7">
        <v>0</v>
      </c>
      <c r="J99" s="7">
        <v>0</v>
      </c>
      <c r="K99" s="8">
        <f t="shared" si="60"/>
        <v>0</v>
      </c>
      <c r="L99" s="7">
        <v>1086710</v>
      </c>
      <c r="M99" s="147">
        <v>0</v>
      </c>
      <c r="N99" s="8">
        <f t="shared" si="54"/>
        <v>1086710</v>
      </c>
      <c r="O99" s="7">
        <v>0</v>
      </c>
      <c r="P99" s="7">
        <v>0</v>
      </c>
      <c r="Q99" s="8">
        <f t="shared" si="55"/>
        <v>0</v>
      </c>
      <c r="R99" s="7">
        <v>0</v>
      </c>
      <c r="S99" s="7">
        <v>0</v>
      </c>
      <c r="T99" s="8">
        <f t="shared" si="114"/>
        <v>0</v>
      </c>
      <c r="U99" s="7">
        <v>0</v>
      </c>
      <c r="V99" s="7">
        <v>0</v>
      </c>
      <c r="W99" s="8">
        <f t="shared" ref="W99:W112" si="139">U99+V99</f>
        <v>0</v>
      </c>
      <c r="X99" s="7">
        <v>0</v>
      </c>
      <c r="Y99" s="7">
        <v>0</v>
      </c>
      <c r="Z99" s="8">
        <f t="shared" ref="Z99:Z112" si="140">X99+Y99</f>
        <v>0</v>
      </c>
      <c r="AA99" s="7">
        <v>0</v>
      </c>
      <c r="AB99" s="7">
        <v>0</v>
      </c>
      <c r="AC99" s="8">
        <f t="shared" si="109"/>
        <v>0</v>
      </c>
      <c r="AD99" s="8">
        <f t="shared" si="129"/>
        <v>1086710</v>
      </c>
      <c r="AE99" s="8">
        <f t="shared" si="136"/>
        <v>0</v>
      </c>
      <c r="AF99" s="8">
        <f t="shared" si="137"/>
        <v>1086710</v>
      </c>
      <c r="AG99" s="8">
        <v>1086710</v>
      </c>
      <c r="AH99" s="8">
        <v>0</v>
      </c>
      <c r="AI99" s="8">
        <f t="shared" si="63"/>
        <v>1086710</v>
      </c>
      <c r="AJ99" s="8">
        <v>0</v>
      </c>
      <c r="AK99" s="8">
        <v>0</v>
      </c>
      <c r="AL99" s="8"/>
      <c r="AM99" s="8">
        <f t="shared" si="138"/>
        <v>0</v>
      </c>
      <c r="AN99" s="8">
        <v>0</v>
      </c>
      <c r="AO99" s="8">
        <v>0</v>
      </c>
      <c r="AP99" s="8">
        <f t="shared" ref="AP99:AP112" si="141">AN99+AO99</f>
        <v>0</v>
      </c>
      <c r="AQ99" s="299">
        <f t="shared" si="11"/>
        <v>0</v>
      </c>
      <c r="AR99" s="47"/>
    </row>
    <row r="100" spans="2:44" ht="42" customHeight="1">
      <c r="B100" s="35" t="s">
        <v>397</v>
      </c>
      <c r="C100" s="353" t="s">
        <v>385</v>
      </c>
      <c r="D100" s="67"/>
      <c r="E100" s="330" t="s">
        <v>69</v>
      </c>
      <c r="F100" s="393"/>
      <c r="G100" s="804">
        <v>2025</v>
      </c>
      <c r="H100" s="804">
        <v>2025</v>
      </c>
      <c r="I100" s="7">
        <v>0</v>
      </c>
      <c r="J100" s="7">
        <v>0</v>
      </c>
      <c r="K100" s="8">
        <f t="shared" si="60"/>
        <v>0</v>
      </c>
      <c r="L100" s="7">
        <v>240000</v>
      </c>
      <c r="M100" s="147">
        <v>0</v>
      </c>
      <c r="N100" s="8">
        <f t="shared" si="54"/>
        <v>240000</v>
      </c>
      <c r="O100" s="7">
        <v>0</v>
      </c>
      <c r="P100" s="7">
        <v>0</v>
      </c>
      <c r="Q100" s="8">
        <f t="shared" si="55"/>
        <v>0</v>
      </c>
      <c r="R100" s="7">
        <v>0</v>
      </c>
      <c r="S100" s="7">
        <v>0</v>
      </c>
      <c r="T100" s="8">
        <f t="shared" si="114"/>
        <v>0</v>
      </c>
      <c r="U100" s="7">
        <v>0</v>
      </c>
      <c r="V100" s="7">
        <v>0</v>
      </c>
      <c r="W100" s="8">
        <f t="shared" si="139"/>
        <v>0</v>
      </c>
      <c r="X100" s="7">
        <v>0</v>
      </c>
      <c r="Y100" s="7">
        <v>0</v>
      </c>
      <c r="Z100" s="8">
        <f t="shared" si="140"/>
        <v>0</v>
      </c>
      <c r="AA100" s="7">
        <v>0</v>
      </c>
      <c r="AB100" s="7">
        <v>0</v>
      </c>
      <c r="AC100" s="8">
        <f t="shared" si="109"/>
        <v>0</v>
      </c>
      <c r="AD100" s="8">
        <f t="shared" si="129"/>
        <v>240000</v>
      </c>
      <c r="AE100" s="8">
        <f t="shared" si="136"/>
        <v>0</v>
      </c>
      <c r="AF100" s="8">
        <f t="shared" si="137"/>
        <v>240000</v>
      </c>
      <c r="AG100" s="8">
        <v>240000</v>
      </c>
      <c r="AH100" s="8">
        <v>0</v>
      </c>
      <c r="AI100" s="8">
        <f t="shared" si="63"/>
        <v>240000</v>
      </c>
      <c r="AJ100" s="8">
        <v>0</v>
      </c>
      <c r="AK100" s="8">
        <v>0</v>
      </c>
      <c r="AL100" s="8"/>
      <c r="AM100" s="8">
        <f t="shared" si="138"/>
        <v>0</v>
      </c>
      <c r="AN100" s="8">
        <v>0</v>
      </c>
      <c r="AO100" s="8">
        <v>0</v>
      </c>
      <c r="AP100" s="8">
        <f t="shared" si="141"/>
        <v>0</v>
      </c>
      <c r="AQ100" s="299">
        <f t="shared" si="11"/>
        <v>0</v>
      </c>
      <c r="AR100" s="47"/>
    </row>
    <row r="101" spans="2:44" ht="54.6" customHeight="1">
      <c r="B101" s="88" t="s">
        <v>398</v>
      </c>
      <c r="C101" s="354" t="s">
        <v>400</v>
      </c>
      <c r="D101" s="361"/>
      <c r="E101" s="340" t="s">
        <v>285</v>
      </c>
      <c r="F101" s="393"/>
      <c r="G101" s="812">
        <v>2026</v>
      </c>
      <c r="H101" s="812">
        <v>2026</v>
      </c>
      <c r="I101" s="7">
        <v>0</v>
      </c>
      <c r="J101" s="7">
        <v>0</v>
      </c>
      <c r="K101" s="8">
        <f t="shared" si="60"/>
        <v>0</v>
      </c>
      <c r="L101" s="7">
        <v>0</v>
      </c>
      <c r="M101" s="7">
        <v>0</v>
      </c>
      <c r="N101" s="8">
        <f t="shared" si="54"/>
        <v>0</v>
      </c>
      <c r="O101" s="7">
        <v>1800000</v>
      </c>
      <c r="P101" s="8">
        <v>0</v>
      </c>
      <c r="Q101" s="8">
        <f t="shared" si="55"/>
        <v>1800000</v>
      </c>
      <c r="R101" s="7">
        <v>0</v>
      </c>
      <c r="S101" s="7">
        <v>0</v>
      </c>
      <c r="T101" s="8">
        <f t="shared" si="114"/>
        <v>0</v>
      </c>
      <c r="U101" s="7">
        <v>0</v>
      </c>
      <c r="V101" s="7">
        <v>0</v>
      </c>
      <c r="W101" s="8">
        <f t="shared" si="139"/>
        <v>0</v>
      </c>
      <c r="X101" s="7">
        <v>0</v>
      </c>
      <c r="Y101" s="7">
        <v>0</v>
      </c>
      <c r="Z101" s="8">
        <f t="shared" si="140"/>
        <v>0</v>
      </c>
      <c r="AA101" s="7">
        <v>0</v>
      </c>
      <c r="AB101" s="7">
        <v>0</v>
      </c>
      <c r="AC101" s="8">
        <f t="shared" si="109"/>
        <v>0</v>
      </c>
      <c r="AD101" s="8">
        <f t="shared" si="129"/>
        <v>1800000</v>
      </c>
      <c r="AE101" s="8">
        <f t="shared" si="136"/>
        <v>0</v>
      </c>
      <c r="AF101" s="8">
        <f t="shared" si="137"/>
        <v>1800000</v>
      </c>
      <c r="AG101" s="8">
        <v>1800000</v>
      </c>
      <c r="AH101" s="8">
        <v>0</v>
      </c>
      <c r="AI101" s="8">
        <f t="shared" si="63"/>
        <v>1800000</v>
      </c>
      <c r="AJ101" s="8">
        <v>0</v>
      </c>
      <c r="AK101" s="8">
        <v>0</v>
      </c>
      <c r="AL101" s="8"/>
      <c r="AM101" s="8">
        <f t="shared" si="138"/>
        <v>0</v>
      </c>
      <c r="AN101" s="8">
        <v>0</v>
      </c>
      <c r="AO101" s="8">
        <v>0</v>
      </c>
      <c r="AP101" s="8">
        <f t="shared" si="141"/>
        <v>0</v>
      </c>
      <c r="AQ101" s="299">
        <f t="shared" si="11"/>
        <v>0</v>
      </c>
      <c r="AR101" s="47"/>
    </row>
    <row r="102" spans="2:44" ht="90" customHeight="1">
      <c r="B102" s="210" t="s">
        <v>403</v>
      </c>
      <c r="C102" s="362" t="s">
        <v>1593</v>
      </c>
      <c r="D102" s="184"/>
      <c r="E102" s="398" t="s">
        <v>414</v>
      </c>
      <c r="F102" s="192" t="s">
        <v>371</v>
      </c>
      <c r="G102" s="342">
        <v>2024</v>
      </c>
      <c r="H102" s="342">
        <v>2030</v>
      </c>
      <c r="I102" s="189">
        <f>SUM(I103:I112)</f>
        <v>7606970</v>
      </c>
      <c r="J102" s="189">
        <f>SUM(J103:J112)</f>
        <v>0</v>
      </c>
      <c r="K102" s="190">
        <f t="shared" si="60"/>
        <v>7606970</v>
      </c>
      <c r="L102" s="189">
        <f t="shared" ref="L102:M102" si="142">SUM(L103:L112)</f>
        <v>7606970</v>
      </c>
      <c r="M102" s="363">
        <f t="shared" si="142"/>
        <v>0</v>
      </c>
      <c r="N102" s="190">
        <f>L102+M102</f>
        <v>7606970</v>
      </c>
      <c r="O102" s="189">
        <f t="shared" ref="O102:P102" si="143">SUM(O103:O112)</f>
        <v>7600260</v>
      </c>
      <c r="P102" s="190">
        <f t="shared" si="143"/>
        <v>0</v>
      </c>
      <c r="Q102" s="190">
        <f>O102+P102</f>
        <v>7600260</v>
      </c>
      <c r="R102" s="190">
        <f t="shared" ref="R102:S102" si="144">SUM(R103:R112)</f>
        <v>5426840</v>
      </c>
      <c r="S102" s="190">
        <f t="shared" si="144"/>
        <v>0</v>
      </c>
      <c r="T102" s="190">
        <f t="shared" si="114"/>
        <v>5426840</v>
      </c>
      <c r="U102" s="190">
        <f t="shared" ref="U102:V102" si="145">SUM(U103:U112)</f>
        <v>4340130</v>
      </c>
      <c r="V102" s="190">
        <f t="shared" si="145"/>
        <v>0</v>
      </c>
      <c r="W102" s="190">
        <f t="shared" si="139"/>
        <v>4340130</v>
      </c>
      <c r="X102" s="190">
        <f t="shared" ref="X102:Y102" si="146">SUM(X103:X112)</f>
        <v>4340130</v>
      </c>
      <c r="Y102" s="190">
        <f t="shared" si="146"/>
        <v>0</v>
      </c>
      <c r="Z102" s="190">
        <f t="shared" si="140"/>
        <v>4340130</v>
      </c>
      <c r="AA102" s="190">
        <f t="shared" ref="AA102:AB102" si="147">SUM(AA103:AA112)</f>
        <v>4340130</v>
      </c>
      <c r="AB102" s="190">
        <f t="shared" si="147"/>
        <v>0</v>
      </c>
      <c r="AC102" s="190">
        <f t="shared" si="109"/>
        <v>4340130</v>
      </c>
      <c r="AD102" s="190">
        <f t="shared" ref="AD102:AD112" si="148">I102+L102+O102+R102+U102+X102+AA102</f>
        <v>41261430</v>
      </c>
      <c r="AE102" s="190">
        <f>J102+M102+P102+S102+V102+Y102+AB102</f>
        <v>0</v>
      </c>
      <c r="AF102" s="190">
        <f>AD102+AE102</f>
        <v>41261430</v>
      </c>
      <c r="AG102" s="190">
        <f t="shared" ref="AG102:AH102" si="149">SUM(AG103:AG112)</f>
        <v>22814200</v>
      </c>
      <c r="AH102" s="190">
        <f t="shared" si="149"/>
        <v>0</v>
      </c>
      <c r="AI102" s="190">
        <f t="shared" si="63"/>
        <v>22814200</v>
      </c>
      <c r="AJ102" s="190">
        <f t="shared" ref="AJ102:AK102" si="150">SUM(AJ103:AJ112)</f>
        <v>0</v>
      </c>
      <c r="AK102" s="190">
        <f t="shared" si="150"/>
        <v>0</v>
      </c>
      <c r="AL102" s="190"/>
      <c r="AM102" s="190">
        <f>AJ102+AK102</f>
        <v>0</v>
      </c>
      <c r="AN102" s="190">
        <f t="shared" ref="AN102:AO102" si="151">SUM(AN103:AN112)</f>
        <v>18447230</v>
      </c>
      <c r="AO102" s="190">
        <f t="shared" si="151"/>
        <v>0</v>
      </c>
      <c r="AP102" s="190">
        <f t="shared" si="141"/>
        <v>18447230</v>
      </c>
      <c r="AQ102" s="211">
        <f t="shared" si="11"/>
        <v>0</v>
      </c>
      <c r="AR102" s="47"/>
    </row>
    <row r="103" spans="2:44" ht="90" customHeight="1">
      <c r="B103" s="87" t="s">
        <v>404</v>
      </c>
      <c r="C103" s="399" t="s">
        <v>418</v>
      </c>
      <c r="D103" s="396"/>
      <c r="E103" s="325" t="s">
        <v>414</v>
      </c>
      <c r="F103" s="387" t="s">
        <v>371</v>
      </c>
      <c r="G103" s="344">
        <v>2024</v>
      </c>
      <c r="H103" s="344">
        <v>2025</v>
      </c>
      <c r="I103" s="285">
        <v>2173420</v>
      </c>
      <c r="J103" s="7">
        <v>0</v>
      </c>
      <c r="K103" s="257">
        <f t="shared" si="60"/>
        <v>2173420</v>
      </c>
      <c r="L103" s="7">
        <v>2173420</v>
      </c>
      <c r="M103" s="147">
        <v>0</v>
      </c>
      <c r="N103" s="257">
        <f t="shared" ref="N103:N112" si="152">L103+M103</f>
        <v>2173420</v>
      </c>
      <c r="O103" s="7">
        <v>0</v>
      </c>
      <c r="P103" s="64">
        <v>0</v>
      </c>
      <c r="Q103" s="257">
        <f t="shared" ref="Q103:Q112" si="153">O103+P103</f>
        <v>0</v>
      </c>
      <c r="R103" s="7">
        <v>0</v>
      </c>
      <c r="S103" s="64">
        <v>0</v>
      </c>
      <c r="T103" s="257">
        <f t="shared" si="114"/>
        <v>0</v>
      </c>
      <c r="U103" s="7">
        <v>0</v>
      </c>
      <c r="V103" s="64">
        <v>0</v>
      </c>
      <c r="W103" s="257">
        <f t="shared" si="139"/>
        <v>0</v>
      </c>
      <c r="X103" s="7">
        <v>0</v>
      </c>
      <c r="Y103" s="64">
        <v>0</v>
      </c>
      <c r="Z103" s="257">
        <f t="shared" si="140"/>
        <v>0</v>
      </c>
      <c r="AA103" s="7">
        <v>0</v>
      </c>
      <c r="AB103" s="64">
        <v>0</v>
      </c>
      <c r="AC103" s="257">
        <f t="shared" si="109"/>
        <v>0</v>
      </c>
      <c r="AD103" s="8">
        <f t="shared" si="148"/>
        <v>4346840</v>
      </c>
      <c r="AE103" s="8">
        <f t="shared" ref="AE103:AE112" si="154">J103+M103+P103+S103+V103+Y103+AB103</f>
        <v>0</v>
      </c>
      <c r="AF103" s="257">
        <f t="shared" ref="AF103:AF111" si="155">AD103+AE103</f>
        <v>4346840</v>
      </c>
      <c r="AG103" s="8">
        <v>4346840</v>
      </c>
      <c r="AH103" s="64">
        <v>0</v>
      </c>
      <c r="AI103" s="257">
        <f t="shared" si="63"/>
        <v>4346840</v>
      </c>
      <c r="AJ103" s="8">
        <v>0</v>
      </c>
      <c r="AK103" s="64">
        <v>0</v>
      </c>
      <c r="AL103" s="64"/>
      <c r="AM103" s="257">
        <f t="shared" ref="AM103:AM112" si="156">AJ103+AK103</f>
        <v>0</v>
      </c>
      <c r="AN103" s="8">
        <v>0</v>
      </c>
      <c r="AO103" s="64">
        <v>0</v>
      </c>
      <c r="AP103" s="257">
        <f t="shared" si="141"/>
        <v>0</v>
      </c>
      <c r="AQ103" s="170">
        <f t="shared" si="11"/>
        <v>0</v>
      </c>
      <c r="AR103" s="47"/>
    </row>
    <row r="104" spans="2:44" ht="46.15" customHeight="1">
      <c r="B104" s="35" t="s">
        <v>413</v>
      </c>
      <c r="C104" s="391" t="s">
        <v>419</v>
      </c>
      <c r="D104" s="67"/>
      <c r="E104" s="39" t="s">
        <v>372</v>
      </c>
      <c r="F104" s="388"/>
      <c r="G104" s="345">
        <v>2024</v>
      </c>
      <c r="H104" s="345">
        <v>2026</v>
      </c>
      <c r="I104" s="7">
        <v>1086710</v>
      </c>
      <c r="J104" s="7">
        <v>0</v>
      </c>
      <c r="K104" s="257">
        <f t="shared" si="60"/>
        <v>1086710</v>
      </c>
      <c r="L104" s="7">
        <v>1086710</v>
      </c>
      <c r="M104" s="147">
        <v>0</v>
      </c>
      <c r="N104" s="257">
        <f t="shared" si="152"/>
        <v>1086710</v>
      </c>
      <c r="O104" s="7">
        <v>1086710</v>
      </c>
      <c r="P104" s="64">
        <v>0</v>
      </c>
      <c r="Q104" s="257">
        <f t="shared" si="153"/>
        <v>1086710</v>
      </c>
      <c r="R104" s="7">
        <v>0</v>
      </c>
      <c r="S104" s="64">
        <v>0</v>
      </c>
      <c r="T104" s="257">
        <f t="shared" si="114"/>
        <v>0</v>
      </c>
      <c r="U104" s="7">
        <v>0</v>
      </c>
      <c r="V104" s="64">
        <v>0</v>
      </c>
      <c r="W104" s="257">
        <f t="shared" si="139"/>
        <v>0</v>
      </c>
      <c r="X104" s="7">
        <v>0</v>
      </c>
      <c r="Y104" s="64">
        <v>0</v>
      </c>
      <c r="Z104" s="257">
        <f t="shared" si="140"/>
        <v>0</v>
      </c>
      <c r="AA104" s="7">
        <v>0</v>
      </c>
      <c r="AB104" s="64">
        <v>0</v>
      </c>
      <c r="AC104" s="257">
        <f t="shared" si="109"/>
        <v>0</v>
      </c>
      <c r="AD104" s="8">
        <f t="shared" si="148"/>
        <v>3260130</v>
      </c>
      <c r="AE104" s="8">
        <f t="shared" si="154"/>
        <v>0</v>
      </c>
      <c r="AF104" s="257">
        <f t="shared" si="155"/>
        <v>3260130</v>
      </c>
      <c r="AG104" s="8">
        <v>3260130</v>
      </c>
      <c r="AH104" s="64">
        <v>0</v>
      </c>
      <c r="AI104" s="257">
        <f t="shared" si="63"/>
        <v>3260130</v>
      </c>
      <c r="AJ104" s="8">
        <v>0</v>
      </c>
      <c r="AK104" s="64">
        <v>0</v>
      </c>
      <c r="AL104" s="64"/>
      <c r="AM104" s="257">
        <f t="shared" si="156"/>
        <v>0</v>
      </c>
      <c r="AN104" s="8">
        <v>0</v>
      </c>
      <c r="AO104" s="64">
        <v>0</v>
      </c>
      <c r="AP104" s="257">
        <f t="shared" si="141"/>
        <v>0</v>
      </c>
      <c r="AQ104" s="170">
        <f t="shared" si="11"/>
        <v>0</v>
      </c>
      <c r="AR104" s="47"/>
    </row>
    <row r="105" spans="2:44" ht="42.6" customHeight="1">
      <c r="B105" s="35" t="s">
        <v>412</v>
      </c>
      <c r="C105" s="391" t="s">
        <v>420</v>
      </c>
      <c r="D105" s="67"/>
      <c r="E105" s="39" t="s">
        <v>372</v>
      </c>
      <c r="F105" s="388"/>
      <c r="G105" s="345">
        <v>2024</v>
      </c>
      <c r="H105" s="345">
        <v>2024</v>
      </c>
      <c r="I105" s="7">
        <v>0</v>
      </c>
      <c r="J105" s="7">
        <v>0</v>
      </c>
      <c r="K105" s="257">
        <f t="shared" si="60"/>
        <v>0</v>
      </c>
      <c r="L105" s="7">
        <v>0</v>
      </c>
      <c r="M105" s="147">
        <v>0</v>
      </c>
      <c r="N105" s="257">
        <f t="shared" si="152"/>
        <v>0</v>
      </c>
      <c r="O105" s="7">
        <v>0</v>
      </c>
      <c r="P105" s="64">
        <v>0</v>
      </c>
      <c r="Q105" s="257">
        <f t="shared" si="153"/>
        <v>0</v>
      </c>
      <c r="R105" s="7">
        <v>0</v>
      </c>
      <c r="S105" s="64">
        <v>0</v>
      </c>
      <c r="T105" s="257">
        <f t="shared" si="114"/>
        <v>0</v>
      </c>
      <c r="U105" s="7">
        <v>0</v>
      </c>
      <c r="V105" s="64">
        <v>0</v>
      </c>
      <c r="W105" s="257">
        <f t="shared" si="139"/>
        <v>0</v>
      </c>
      <c r="X105" s="7">
        <v>0</v>
      </c>
      <c r="Y105" s="64">
        <v>0</v>
      </c>
      <c r="Z105" s="257">
        <f t="shared" si="140"/>
        <v>0</v>
      </c>
      <c r="AA105" s="7">
        <v>0</v>
      </c>
      <c r="AB105" s="64">
        <v>0</v>
      </c>
      <c r="AC105" s="257">
        <f t="shared" si="109"/>
        <v>0</v>
      </c>
      <c r="AD105" s="8">
        <f t="shared" si="148"/>
        <v>0</v>
      </c>
      <c r="AE105" s="8">
        <f t="shared" si="154"/>
        <v>0</v>
      </c>
      <c r="AF105" s="257">
        <f t="shared" si="155"/>
        <v>0</v>
      </c>
      <c r="AG105" s="8">
        <v>0</v>
      </c>
      <c r="AH105" s="64">
        <v>0</v>
      </c>
      <c r="AI105" s="257">
        <f t="shared" si="63"/>
        <v>0</v>
      </c>
      <c r="AJ105" s="8">
        <v>0</v>
      </c>
      <c r="AK105" s="64">
        <v>0</v>
      </c>
      <c r="AL105" s="64"/>
      <c r="AM105" s="257">
        <f t="shared" si="156"/>
        <v>0</v>
      </c>
      <c r="AN105" s="8">
        <v>0</v>
      </c>
      <c r="AO105" s="64">
        <v>0</v>
      </c>
      <c r="AP105" s="257">
        <f t="shared" si="141"/>
        <v>0</v>
      </c>
      <c r="AQ105" s="170">
        <f t="shared" si="11"/>
        <v>0</v>
      </c>
      <c r="AR105" s="47"/>
    </row>
    <row r="106" spans="2:44" ht="90" customHeight="1">
      <c r="B106" s="35" t="s">
        <v>411</v>
      </c>
      <c r="C106" s="391" t="s">
        <v>421</v>
      </c>
      <c r="D106" s="67"/>
      <c r="E106" s="39" t="s">
        <v>415</v>
      </c>
      <c r="F106" s="388"/>
      <c r="G106" s="345">
        <v>2025</v>
      </c>
      <c r="H106" s="345">
        <v>2026</v>
      </c>
      <c r="I106" s="8">
        <v>0</v>
      </c>
      <c r="J106" s="64">
        <v>0</v>
      </c>
      <c r="K106" s="257">
        <f t="shared" si="60"/>
        <v>0</v>
      </c>
      <c r="L106" s="7">
        <v>1086710</v>
      </c>
      <c r="M106" s="147">
        <v>0</v>
      </c>
      <c r="N106" s="257">
        <f t="shared" si="152"/>
        <v>1086710</v>
      </c>
      <c r="O106" s="7">
        <v>1086710</v>
      </c>
      <c r="P106" s="64">
        <v>0</v>
      </c>
      <c r="Q106" s="257">
        <f t="shared" si="153"/>
        <v>1086710</v>
      </c>
      <c r="R106" s="8">
        <v>0</v>
      </c>
      <c r="S106" s="64">
        <v>0</v>
      </c>
      <c r="T106" s="257">
        <f t="shared" si="114"/>
        <v>0</v>
      </c>
      <c r="U106" s="8">
        <v>0</v>
      </c>
      <c r="V106" s="64">
        <v>0</v>
      </c>
      <c r="W106" s="257">
        <f t="shared" si="139"/>
        <v>0</v>
      </c>
      <c r="X106" s="64">
        <v>0</v>
      </c>
      <c r="Y106" s="64">
        <v>0</v>
      </c>
      <c r="Z106" s="257">
        <f t="shared" si="140"/>
        <v>0</v>
      </c>
      <c r="AA106" s="64">
        <v>0</v>
      </c>
      <c r="AB106" s="64">
        <v>0</v>
      </c>
      <c r="AC106" s="257">
        <f t="shared" si="109"/>
        <v>0</v>
      </c>
      <c r="AD106" s="8">
        <f t="shared" si="148"/>
        <v>2173420</v>
      </c>
      <c r="AE106" s="8">
        <f t="shared" si="154"/>
        <v>0</v>
      </c>
      <c r="AF106" s="257">
        <f t="shared" si="155"/>
        <v>2173420</v>
      </c>
      <c r="AG106" s="8">
        <v>2173420</v>
      </c>
      <c r="AH106" s="64">
        <v>0</v>
      </c>
      <c r="AI106" s="257">
        <f t="shared" si="63"/>
        <v>2173420</v>
      </c>
      <c r="AJ106" s="8">
        <v>0</v>
      </c>
      <c r="AK106" s="64">
        <v>0</v>
      </c>
      <c r="AL106" s="64"/>
      <c r="AM106" s="257">
        <f t="shared" si="156"/>
        <v>0</v>
      </c>
      <c r="AN106" s="8">
        <v>0</v>
      </c>
      <c r="AO106" s="64">
        <v>0</v>
      </c>
      <c r="AP106" s="257">
        <f t="shared" si="141"/>
        <v>0</v>
      </c>
      <c r="AQ106" s="170">
        <f t="shared" si="11"/>
        <v>0</v>
      </c>
      <c r="AR106" s="47"/>
    </row>
    <row r="107" spans="2:44" ht="42.6" customHeight="1">
      <c r="B107" s="35" t="s">
        <v>410</v>
      </c>
      <c r="C107" s="391" t="s">
        <v>422</v>
      </c>
      <c r="D107" s="67"/>
      <c r="E107" s="39" t="s">
        <v>416</v>
      </c>
      <c r="F107" s="388"/>
      <c r="G107" s="345">
        <v>2024</v>
      </c>
      <c r="H107" s="345">
        <v>2024</v>
      </c>
      <c r="I107" s="7">
        <v>1086710</v>
      </c>
      <c r="J107" s="7">
        <v>0</v>
      </c>
      <c r="K107" s="257">
        <f t="shared" si="60"/>
        <v>1086710</v>
      </c>
      <c r="L107" s="7">
        <v>0</v>
      </c>
      <c r="M107" s="147">
        <v>0</v>
      </c>
      <c r="N107" s="257">
        <f t="shared" si="152"/>
        <v>0</v>
      </c>
      <c r="O107" s="7">
        <v>0</v>
      </c>
      <c r="P107" s="64">
        <v>0</v>
      </c>
      <c r="Q107" s="257">
        <f t="shared" si="153"/>
        <v>0</v>
      </c>
      <c r="R107" s="8">
        <v>0</v>
      </c>
      <c r="S107" s="64">
        <v>0</v>
      </c>
      <c r="T107" s="257">
        <f t="shared" si="114"/>
        <v>0</v>
      </c>
      <c r="U107" s="8">
        <v>0</v>
      </c>
      <c r="V107" s="64">
        <v>0</v>
      </c>
      <c r="W107" s="257">
        <f t="shared" si="139"/>
        <v>0</v>
      </c>
      <c r="X107" s="8">
        <v>0</v>
      </c>
      <c r="Y107" s="64">
        <v>0</v>
      </c>
      <c r="Z107" s="257">
        <f t="shared" si="140"/>
        <v>0</v>
      </c>
      <c r="AA107" s="8">
        <v>0</v>
      </c>
      <c r="AB107" s="64">
        <v>0</v>
      </c>
      <c r="AC107" s="257">
        <f t="shared" si="109"/>
        <v>0</v>
      </c>
      <c r="AD107" s="8">
        <f t="shared" si="148"/>
        <v>1086710</v>
      </c>
      <c r="AE107" s="8">
        <f t="shared" si="154"/>
        <v>0</v>
      </c>
      <c r="AF107" s="257">
        <f t="shared" si="155"/>
        <v>1086710</v>
      </c>
      <c r="AG107" s="8">
        <v>1086710</v>
      </c>
      <c r="AH107" s="64">
        <v>0</v>
      </c>
      <c r="AI107" s="257">
        <f t="shared" si="63"/>
        <v>1086710</v>
      </c>
      <c r="AJ107" s="8">
        <v>0</v>
      </c>
      <c r="AK107" s="64">
        <v>0</v>
      </c>
      <c r="AL107" s="64"/>
      <c r="AM107" s="257">
        <f t="shared" si="156"/>
        <v>0</v>
      </c>
      <c r="AN107" s="8">
        <v>0</v>
      </c>
      <c r="AO107" s="64">
        <v>0</v>
      </c>
      <c r="AP107" s="257">
        <f t="shared" si="141"/>
        <v>0</v>
      </c>
      <c r="AQ107" s="170">
        <f t="shared" si="11"/>
        <v>0</v>
      </c>
      <c r="AR107" s="47"/>
    </row>
    <row r="108" spans="2:44" ht="47.45" customHeight="1">
      <c r="B108" s="35" t="s">
        <v>409</v>
      </c>
      <c r="C108" s="391" t="s">
        <v>423</v>
      </c>
      <c r="D108" s="67"/>
      <c r="E108" s="39" t="s">
        <v>416</v>
      </c>
      <c r="F108" s="388"/>
      <c r="G108" s="345">
        <v>2026</v>
      </c>
      <c r="H108" s="345">
        <v>2026</v>
      </c>
      <c r="I108" s="7">
        <v>0</v>
      </c>
      <c r="J108" s="7">
        <v>0</v>
      </c>
      <c r="K108" s="257">
        <f t="shared" si="60"/>
        <v>0</v>
      </c>
      <c r="L108" s="7">
        <v>0</v>
      </c>
      <c r="M108" s="147">
        <v>0</v>
      </c>
      <c r="N108" s="257">
        <f t="shared" si="152"/>
        <v>0</v>
      </c>
      <c r="O108" s="7">
        <v>1086710</v>
      </c>
      <c r="P108" s="64">
        <v>0</v>
      </c>
      <c r="Q108" s="257">
        <f t="shared" si="153"/>
        <v>1086710</v>
      </c>
      <c r="R108" s="8">
        <v>0</v>
      </c>
      <c r="S108" s="64">
        <v>0</v>
      </c>
      <c r="T108" s="257">
        <f t="shared" si="114"/>
        <v>0</v>
      </c>
      <c r="U108" s="8">
        <v>0</v>
      </c>
      <c r="V108" s="64">
        <v>0</v>
      </c>
      <c r="W108" s="257">
        <f t="shared" si="139"/>
        <v>0</v>
      </c>
      <c r="X108" s="8">
        <v>0</v>
      </c>
      <c r="Y108" s="64">
        <v>0</v>
      </c>
      <c r="Z108" s="257">
        <f t="shared" si="140"/>
        <v>0</v>
      </c>
      <c r="AA108" s="8">
        <v>0</v>
      </c>
      <c r="AB108" s="64">
        <v>0</v>
      </c>
      <c r="AC108" s="257">
        <f t="shared" si="109"/>
        <v>0</v>
      </c>
      <c r="AD108" s="8">
        <f t="shared" si="148"/>
        <v>1086710</v>
      </c>
      <c r="AE108" s="8">
        <f t="shared" si="154"/>
        <v>0</v>
      </c>
      <c r="AF108" s="257">
        <f t="shared" si="155"/>
        <v>1086710</v>
      </c>
      <c r="AG108" s="8">
        <v>1086710</v>
      </c>
      <c r="AH108" s="64">
        <v>0</v>
      </c>
      <c r="AI108" s="257">
        <f t="shared" si="63"/>
        <v>1086710</v>
      </c>
      <c r="AJ108" s="8">
        <v>0</v>
      </c>
      <c r="AK108" s="64">
        <v>0</v>
      </c>
      <c r="AL108" s="64"/>
      <c r="AM108" s="257">
        <f t="shared" si="156"/>
        <v>0</v>
      </c>
      <c r="AN108" s="8">
        <v>0</v>
      </c>
      <c r="AO108" s="64">
        <v>0</v>
      </c>
      <c r="AP108" s="257">
        <f t="shared" si="141"/>
        <v>0</v>
      </c>
      <c r="AQ108" s="170">
        <f t="shared" si="11"/>
        <v>0</v>
      </c>
      <c r="AR108" s="47"/>
    </row>
    <row r="109" spans="2:44" ht="52.9" customHeight="1">
      <c r="B109" s="35" t="s">
        <v>408</v>
      </c>
      <c r="C109" s="391" t="s">
        <v>424</v>
      </c>
      <c r="D109" s="67"/>
      <c r="E109" s="39" t="s">
        <v>416</v>
      </c>
      <c r="F109" s="388"/>
      <c r="G109" s="345">
        <v>2027</v>
      </c>
      <c r="H109" s="345">
        <v>2027</v>
      </c>
      <c r="I109" s="7">
        <v>0</v>
      </c>
      <c r="J109" s="7">
        <v>0</v>
      </c>
      <c r="K109" s="257">
        <f t="shared" si="60"/>
        <v>0</v>
      </c>
      <c r="L109" s="7">
        <v>0</v>
      </c>
      <c r="M109" s="7">
        <v>0</v>
      </c>
      <c r="N109" s="257">
        <f t="shared" si="152"/>
        <v>0</v>
      </c>
      <c r="O109" s="7">
        <v>0</v>
      </c>
      <c r="P109" s="7">
        <v>0</v>
      </c>
      <c r="Q109" s="257">
        <f t="shared" si="153"/>
        <v>0</v>
      </c>
      <c r="R109" s="8">
        <v>1086710</v>
      </c>
      <c r="S109" s="64">
        <v>0</v>
      </c>
      <c r="T109" s="257">
        <f t="shared" si="114"/>
        <v>1086710</v>
      </c>
      <c r="U109" s="8">
        <v>0</v>
      </c>
      <c r="V109" s="64">
        <v>0</v>
      </c>
      <c r="W109" s="257">
        <f t="shared" si="139"/>
        <v>0</v>
      </c>
      <c r="X109" s="8">
        <v>0</v>
      </c>
      <c r="Y109" s="64">
        <v>0</v>
      </c>
      <c r="Z109" s="257">
        <f t="shared" si="140"/>
        <v>0</v>
      </c>
      <c r="AA109" s="8">
        <v>0</v>
      </c>
      <c r="AB109" s="64">
        <v>0</v>
      </c>
      <c r="AC109" s="257">
        <f t="shared" si="109"/>
        <v>0</v>
      </c>
      <c r="AD109" s="8">
        <f t="shared" si="148"/>
        <v>1086710</v>
      </c>
      <c r="AE109" s="8">
        <f t="shared" si="154"/>
        <v>0</v>
      </c>
      <c r="AF109" s="257">
        <f t="shared" si="155"/>
        <v>1086710</v>
      </c>
      <c r="AG109" s="8">
        <v>0</v>
      </c>
      <c r="AH109" s="64">
        <v>0</v>
      </c>
      <c r="AI109" s="257">
        <f t="shared" si="63"/>
        <v>0</v>
      </c>
      <c r="AJ109" s="8">
        <v>0</v>
      </c>
      <c r="AK109" s="64">
        <v>0</v>
      </c>
      <c r="AL109" s="64"/>
      <c r="AM109" s="257">
        <f t="shared" si="156"/>
        <v>0</v>
      </c>
      <c r="AN109" s="8">
        <v>1086710</v>
      </c>
      <c r="AO109" s="64">
        <v>0</v>
      </c>
      <c r="AP109" s="257">
        <f t="shared" si="141"/>
        <v>1086710</v>
      </c>
      <c r="AQ109" s="170">
        <f t="shared" si="11"/>
        <v>0</v>
      </c>
      <c r="AR109" s="47"/>
    </row>
    <row r="110" spans="2:44" ht="90" customHeight="1">
      <c r="B110" s="35" t="s">
        <v>407</v>
      </c>
      <c r="C110" s="391" t="s">
        <v>425</v>
      </c>
      <c r="D110" s="67"/>
      <c r="E110" s="39" t="s">
        <v>417</v>
      </c>
      <c r="F110" s="388"/>
      <c r="G110" s="345">
        <v>2024</v>
      </c>
      <c r="H110" s="345">
        <v>2030</v>
      </c>
      <c r="I110" s="7">
        <v>2173420</v>
      </c>
      <c r="J110" s="7">
        <v>0</v>
      </c>
      <c r="K110" s="257">
        <f t="shared" si="60"/>
        <v>2173420</v>
      </c>
      <c r="L110" s="7">
        <v>2173420</v>
      </c>
      <c r="M110" s="7">
        <v>0</v>
      </c>
      <c r="N110" s="257">
        <f t="shared" si="152"/>
        <v>2173420</v>
      </c>
      <c r="O110" s="7">
        <v>2173420</v>
      </c>
      <c r="P110" s="7">
        <v>0</v>
      </c>
      <c r="Q110" s="257">
        <f t="shared" si="153"/>
        <v>2173420</v>
      </c>
      <c r="R110" s="7">
        <v>2173420</v>
      </c>
      <c r="S110" s="7">
        <v>0</v>
      </c>
      <c r="T110" s="257">
        <f t="shared" si="114"/>
        <v>2173420</v>
      </c>
      <c r="U110" s="7">
        <v>2173420</v>
      </c>
      <c r="V110" s="7">
        <v>0</v>
      </c>
      <c r="W110" s="257">
        <f t="shared" si="139"/>
        <v>2173420</v>
      </c>
      <c r="X110" s="7">
        <v>2173420</v>
      </c>
      <c r="Y110" s="7">
        <v>0</v>
      </c>
      <c r="Z110" s="257">
        <f t="shared" si="140"/>
        <v>2173420</v>
      </c>
      <c r="AA110" s="7">
        <v>2173420</v>
      </c>
      <c r="AB110" s="7">
        <v>0</v>
      </c>
      <c r="AC110" s="257">
        <f t="shared" si="109"/>
        <v>2173420</v>
      </c>
      <c r="AD110" s="8">
        <f t="shared" si="148"/>
        <v>15213940</v>
      </c>
      <c r="AE110" s="8">
        <f t="shared" si="154"/>
        <v>0</v>
      </c>
      <c r="AF110" s="257">
        <f t="shared" si="155"/>
        <v>15213940</v>
      </c>
      <c r="AG110" s="8">
        <f>2173420*3</f>
        <v>6520260</v>
      </c>
      <c r="AH110" s="64">
        <v>0</v>
      </c>
      <c r="AI110" s="257">
        <f t="shared" si="63"/>
        <v>6520260</v>
      </c>
      <c r="AJ110" s="8">
        <v>0</v>
      </c>
      <c r="AK110" s="64">
        <v>0</v>
      </c>
      <c r="AL110" s="64"/>
      <c r="AM110" s="257">
        <f t="shared" si="156"/>
        <v>0</v>
      </c>
      <c r="AN110" s="8">
        <f>2173420*4</f>
        <v>8693680</v>
      </c>
      <c r="AO110" s="64">
        <v>0</v>
      </c>
      <c r="AP110" s="257">
        <f t="shared" si="141"/>
        <v>8693680</v>
      </c>
      <c r="AQ110" s="170">
        <f t="shared" si="11"/>
        <v>0</v>
      </c>
      <c r="AR110" s="47"/>
    </row>
    <row r="111" spans="2:44" ht="39" customHeight="1">
      <c r="B111" s="35" t="s">
        <v>406</v>
      </c>
      <c r="C111" s="391" t="s">
        <v>426</v>
      </c>
      <c r="D111" s="67"/>
      <c r="E111" s="39" t="s">
        <v>416</v>
      </c>
      <c r="F111" s="388"/>
      <c r="G111" s="345">
        <v>2026</v>
      </c>
      <c r="H111" s="345">
        <v>2030</v>
      </c>
      <c r="I111" s="7">
        <v>0</v>
      </c>
      <c r="J111" s="7">
        <v>0</v>
      </c>
      <c r="K111" s="257">
        <f t="shared" si="60"/>
        <v>0</v>
      </c>
      <c r="L111" s="7">
        <v>0</v>
      </c>
      <c r="M111" s="7">
        <v>0</v>
      </c>
      <c r="N111" s="257">
        <f t="shared" si="152"/>
        <v>0</v>
      </c>
      <c r="O111" s="7">
        <f>2*20*3*9000</f>
        <v>1080000</v>
      </c>
      <c r="P111" s="64">
        <v>0</v>
      </c>
      <c r="Q111" s="257">
        <f t="shared" si="153"/>
        <v>1080000</v>
      </c>
      <c r="R111" s="7">
        <f>2*20*3*9000</f>
        <v>1080000</v>
      </c>
      <c r="S111" s="64">
        <v>0</v>
      </c>
      <c r="T111" s="257">
        <f t="shared" si="114"/>
        <v>1080000</v>
      </c>
      <c r="U111" s="7">
        <f>2*20*3*9000</f>
        <v>1080000</v>
      </c>
      <c r="V111" s="64">
        <v>0</v>
      </c>
      <c r="W111" s="257">
        <f t="shared" si="139"/>
        <v>1080000</v>
      </c>
      <c r="X111" s="7">
        <f>2*20*3*9000</f>
        <v>1080000</v>
      </c>
      <c r="Y111" s="64">
        <v>0</v>
      </c>
      <c r="Z111" s="257">
        <f t="shared" si="140"/>
        <v>1080000</v>
      </c>
      <c r="AA111" s="7">
        <f>2*20*3*9000</f>
        <v>1080000</v>
      </c>
      <c r="AB111" s="64">
        <v>0</v>
      </c>
      <c r="AC111" s="257">
        <f t="shared" si="109"/>
        <v>1080000</v>
      </c>
      <c r="AD111" s="8">
        <f t="shared" si="148"/>
        <v>5400000</v>
      </c>
      <c r="AE111" s="8">
        <f t="shared" si="154"/>
        <v>0</v>
      </c>
      <c r="AF111" s="257">
        <f t="shared" si="155"/>
        <v>5400000</v>
      </c>
      <c r="AG111" s="8">
        <f>1*1080000</f>
        <v>1080000</v>
      </c>
      <c r="AH111" s="64">
        <v>0</v>
      </c>
      <c r="AI111" s="257">
        <f t="shared" si="63"/>
        <v>1080000</v>
      </c>
      <c r="AJ111" s="8">
        <v>0</v>
      </c>
      <c r="AK111" s="64">
        <v>0</v>
      </c>
      <c r="AL111" s="64"/>
      <c r="AM111" s="257">
        <f t="shared" si="156"/>
        <v>0</v>
      </c>
      <c r="AN111" s="8">
        <f>4*1080000</f>
        <v>4320000</v>
      </c>
      <c r="AO111" s="64">
        <v>0</v>
      </c>
      <c r="AP111" s="257">
        <f t="shared" si="141"/>
        <v>4320000</v>
      </c>
      <c r="AQ111" s="170">
        <f t="shared" si="11"/>
        <v>0</v>
      </c>
      <c r="AR111" s="47"/>
    </row>
    <row r="112" spans="2:44" ht="50.45" customHeight="1">
      <c r="B112" s="35" t="s">
        <v>405</v>
      </c>
      <c r="C112" s="392" t="s">
        <v>427</v>
      </c>
      <c r="D112" s="67"/>
      <c r="E112" s="167" t="s">
        <v>417</v>
      </c>
      <c r="F112" s="395"/>
      <c r="G112" s="346">
        <v>2024</v>
      </c>
      <c r="H112" s="346">
        <v>2030</v>
      </c>
      <c r="I112" s="7">
        <v>1086710</v>
      </c>
      <c r="J112" s="7">
        <v>0</v>
      </c>
      <c r="K112" s="257">
        <f t="shared" si="60"/>
        <v>1086710</v>
      </c>
      <c r="L112" s="7">
        <v>1086710</v>
      </c>
      <c r="M112" s="7">
        <v>0</v>
      </c>
      <c r="N112" s="257">
        <f t="shared" si="152"/>
        <v>1086710</v>
      </c>
      <c r="O112" s="7">
        <v>1086710</v>
      </c>
      <c r="P112" s="7">
        <v>0</v>
      </c>
      <c r="Q112" s="257">
        <f t="shared" si="153"/>
        <v>1086710</v>
      </c>
      <c r="R112" s="7">
        <v>1086710</v>
      </c>
      <c r="S112" s="7">
        <v>0</v>
      </c>
      <c r="T112" s="257">
        <f t="shared" si="114"/>
        <v>1086710</v>
      </c>
      <c r="U112" s="7">
        <v>1086710</v>
      </c>
      <c r="V112" s="7">
        <v>0</v>
      </c>
      <c r="W112" s="257">
        <f t="shared" si="139"/>
        <v>1086710</v>
      </c>
      <c r="X112" s="7">
        <v>1086710</v>
      </c>
      <c r="Y112" s="7">
        <v>0</v>
      </c>
      <c r="Z112" s="257">
        <f t="shared" si="140"/>
        <v>1086710</v>
      </c>
      <c r="AA112" s="7">
        <v>1086710</v>
      </c>
      <c r="AB112" s="7">
        <v>0</v>
      </c>
      <c r="AC112" s="257">
        <f t="shared" si="109"/>
        <v>1086710</v>
      </c>
      <c r="AD112" s="8">
        <f t="shared" si="148"/>
        <v>7606970</v>
      </c>
      <c r="AE112" s="8">
        <f t="shared" si="154"/>
        <v>0</v>
      </c>
      <c r="AF112" s="257">
        <f>AD112+AE112</f>
        <v>7606970</v>
      </c>
      <c r="AG112" s="8">
        <f>1086710*3</f>
        <v>3260130</v>
      </c>
      <c r="AH112" s="64">
        <v>0</v>
      </c>
      <c r="AI112" s="257">
        <f t="shared" si="63"/>
        <v>3260130</v>
      </c>
      <c r="AJ112" s="8">
        <v>0</v>
      </c>
      <c r="AK112" s="64">
        <v>0</v>
      </c>
      <c r="AL112" s="64"/>
      <c r="AM112" s="257">
        <f t="shared" si="156"/>
        <v>0</v>
      </c>
      <c r="AN112" s="8">
        <f>1086710*4</f>
        <v>4346840</v>
      </c>
      <c r="AO112" s="64">
        <v>0</v>
      </c>
      <c r="AP112" s="257">
        <f t="shared" si="141"/>
        <v>4346840</v>
      </c>
      <c r="AQ112" s="170">
        <f t="shared" si="11"/>
        <v>0</v>
      </c>
      <c r="AR112" s="47"/>
    </row>
    <row r="113" spans="2:44" s="4" customFormat="1" ht="38.25" customHeight="1">
      <c r="B113" s="210"/>
      <c r="C113" s="237" t="s">
        <v>72</v>
      </c>
      <c r="D113" s="217"/>
      <c r="E113" s="210"/>
      <c r="F113" s="210"/>
      <c r="G113" s="210"/>
      <c r="H113" s="210"/>
      <c r="I113" s="238">
        <f t="shared" ref="I113:AK113" si="157">SUM(I11,I16,I24,I32,I40,I48,I56,I64,I76,I82,I92,I97,I102)</f>
        <v>51555370</v>
      </c>
      <c r="J113" s="238">
        <f t="shared" si="157"/>
        <v>0</v>
      </c>
      <c r="K113" s="238">
        <f t="shared" si="157"/>
        <v>46121820</v>
      </c>
      <c r="L113" s="238">
        <f t="shared" si="157"/>
        <v>86849570</v>
      </c>
      <c r="M113" s="238">
        <f t="shared" si="157"/>
        <v>0</v>
      </c>
      <c r="N113" s="238">
        <f t="shared" si="157"/>
        <v>86849570</v>
      </c>
      <c r="O113" s="238">
        <f t="shared" si="157"/>
        <v>54381690</v>
      </c>
      <c r="P113" s="238">
        <f t="shared" si="157"/>
        <v>0</v>
      </c>
      <c r="Q113" s="238">
        <f t="shared" si="157"/>
        <v>54381690</v>
      </c>
      <c r="R113" s="238">
        <f t="shared" si="157"/>
        <v>27974200</v>
      </c>
      <c r="S113" s="238">
        <f t="shared" si="157"/>
        <v>0</v>
      </c>
      <c r="T113" s="238">
        <f t="shared" si="157"/>
        <v>27974200</v>
      </c>
      <c r="U113" s="238">
        <f t="shared" si="157"/>
        <v>23520780</v>
      </c>
      <c r="V113" s="238">
        <f t="shared" si="157"/>
        <v>0</v>
      </c>
      <c r="W113" s="238">
        <f t="shared" si="157"/>
        <v>23520780</v>
      </c>
      <c r="X113" s="238">
        <f t="shared" si="157"/>
        <v>23520780</v>
      </c>
      <c r="Y113" s="238">
        <f t="shared" si="157"/>
        <v>0</v>
      </c>
      <c r="Z113" s="238">
        <f t="shared" si="157"/>
        <v>23520780</v>
      </c>
      <c r="AA113" s="238">
        <f t="shared" si="157"/>
        <v>21120780</v>
      </c>
      <c r="AB113" s="238">
        <f t="shared" si="157"/>
        <v>0</v>
      </c>
      <c r="AC113" s="238">
        <f t="shared" si="157"/>
        <v>21120780</v>
      </c>
      <c r="AD113" s="238">
        <f t="shared" si="157"/>
        <v>288923170</v>
      </c>
      <c r="AE113" s="238">
        <f t="shared" si="157"/>
        <v>0</v>
      </c>
      <c r="AF113" s="238">
        <f t="shared" si="157"/>
        <v>288923170</v>
      </c>
      <c r="AG113" s="238">
        <f t="shared" si="157"/>
        <v>192786630</v>
      </c>
      <c r="AH113" s="238">
        <f t="shared" si="157"/>
        <v>0</v>
      </c>
      <c r="AI113" s="238">
        <f t="shared" si="157"/>
        <v>192786630</v>
      </c>
      <c r="AJ113" s="238">
        <f t="shared" si="157"/>
        <v>0</v>
      </c>
      <c r="AK113" s="238">
        <f t="shared" si="157"/>
        <v>0</v>
      </c>
      <c r="AL113" s="238"/>
      <c r="AM113" s="238">
        <f>SUM(AM11,AM16,AM24,AM32,AM40,AM48,AM56,AM64,AM76,AM82,AM92,AM97,AM102)</f>
        <v>0</v>
      </c>
      <c r="AN113" s="238">
        <f>SUM(AN11,AN16,AN24,AN32,AN40,AN48,AN56,AN64,AN76,AN82,AN92,AN97,AN102)</f>
        <v>96136540</v>
      </c>
      <c r="AO113" s="238">
        <f>SUM(AO11,AO16,AO24,AO32,AO40,AO48,AO56,AO64,AO76,AO82,AO92,AO97,AO102)</f>
        <v>0</v>
      </c>
      <c r="AP113" s="238">
        <f>SUM(AP11,AP16,AP24,AP32,AP40,AP48,AP56,AP64,AP76,AP82,AP92,AP97,AP102)</f>
        <v>96136540</v>
      </c>
      <c r="AQ113" s="239">
        <f t="shared" si="11"/>
        <v>0</v>
      </c>
      <c r="AR113" s="48"/>
    </row>
    <row r="114" spans="2:44" ht="75.599999999999994" customHeight="1">
      <c r="B114" s="304">
        <v>1.2</v>
      </c>
      <c r="C114" s="869" t="s">
        <v>428</v>
      </c>
      <c r="D114" s="870"/>
      <c r="E114" s="357"/>
      <c r="F114" s="357"/>
      <c r="G114" s="357"/>
      <c r="H114" s="357"/>
      <c r="I114" s="285"/>
      <c r="J114" s="285"/>
      <c r="K114" s="358"/>
      <c r="L114" s="285"/>
      <c r="M114" s="285"/>
      <c r="N114" s="358"/>
      <c r="O114" s="359"/>
      <c r="P114" s="358"/>
      <c r="Q114" s="358"/>
      <c r="R114" s="359"/>
      <c r="S114" s="358"/>
      <c r="T114" s="358"/>
      <c r="U114" s="359"/>
      <c r="V114" s="358"/>
      <c r="W114" s="358"/>
      <c r="X114" s="358"/>
      <c r="Y114" s="358"/>
      <c r="Z114" s="358"/>
      <c r="AA114" s="358"/>
      <c r="AB114" s="358"/>
      <c r="AC114" s="358"/>
      <c r="AD114" s="359"/>
      <c r="AE114" s="359"/>
      <c r="AF114" s="359"/>
      <c r="AG114" s="359"/>
      <c r="AH114" s="358"/>
      <c r="AI114" s="358"/>
      <c r="AJ114" s="359"/>
      <c r="AK114" s="358"/>
      <c r="AL114" s="358"/>
      <c r="AM114" s="358"/>
      <c r="AN114" s="359"/>
      <c r="AO114" s="358"/>
      <c r="AP114" s="358"/>
      <c r="AQ114" s="360"/>
      <c r="AR114" s="47"/>
    </row>
    <row r="115" spans="2:44" ht="29.45" customHeight="1">
      <c r="B115" s="61"/>
      <c r="C115" s="62" t="s">
        <v>68</v>
      </c>
      <c r="D115" s="63"/>
      <c r="E115" s="1"/>
      <c r="F115" s="1"/>
      <c r="G115" s="35"/>
      <c r="H115" s="35"/>
      <c r="I115" s="7"/>
      <c r="J115" s="7"/>
      <c r="K115" s="64"/>
      <c r="L115" s="7"/>
      <c r="M115" s="7"/>
      <c r="N115" s="64"/>
      <c r="O115" s="8"/>
      <c r="P115" s="64"/>
      <c r="Q115" s="64"/>
      <c r="R115" s="8"/>
      <c r="S115" s="64"/>
      <c r="T115" s="64"/>
      <c r="U115" s="8"/>
      <c r="V115" s="64"/>
      <c r="W115" s="64"/>
      <c r="X115" s="64"/>
      <c r="Y115" s="64"/>
      <c r="Z115" s="64"/>
      <c r="AA115" s="64"/>
      <c r="AB115" s="64"/>
      <c r="AC115" s="64"/>
      <c r="AD115" s="8"/>
      <c r="AE115" s="8"/>
      <c r="AF115" s="8"/>
      <c r="AG115" s="8"/>
      <c r="AH115" s="64"/>
      <c r="AI115" s="64"/>
      <c r="AJ115" s="8"/>
      <c r="AK115" s="64"/>
      <c r="AL115" s="64"/>
      <c r="AM115" s="64"/>
      <c r="AN115" s="8"/>
      <c r="AO115" s="64"/>
      <c r="AP115" s="64"/>
      <c r="AQ115" s="65"/>
      <c r="AR115" s="47"/>
    </row>
    <row r="116" spans="2:44" ht="58.9" customHeight="1" thickBot="1">
      <c r="B116" s="182" t="s">
        <v>92</v>
      </c>
      <c r="C116" s="258" t="s">
        <v>429</v>
      </c>
      <c r="D116" s="183"/>
      <c r="E116" s="192" t="s">
        <v>430</v>
      </c>
      <c r="F116" s="192" t="s">
        <v>431</v>
      </c>
      <c r="G116" s="187">
        <v>2024</v>
      </c>
      <c r="H116" s="188">
        <v>2025</v>
      </c>
      <c r="I116" s="189">
        <f>SUM(I117:I120)</f>
        <v>3260130</v>
      </c>
      <c r="J116" s="189">
        <f>SUM(J117:J120)</f>
        <v>0</v>
      </c>
      <c r="K116" s="190">
        <f>I116+J116</f>
        <v>3260130</v>
      </c>
      <c r="L116" s="189">
        <f>SUM(L117:L120)</f>
        <v>4346840</v>
      </c>
      <c r="M116" s="189">
        <f>SUM(M117:M120)</f>
        <v>0</v>
      </c>
      <c r="N116" s="190">
        <f>L116+M116</f>
        <v>4346840</v>
      </c>
      <c r="O116" s="189">
        <f>SUM(O117:O120)</f>
        <v>0</v>
      </c>
      <c r="P116" s="189">
        <f>SUM(P117:P120)</f>
        <v>0</v>
      </c>
      <c r="Q116" s="190">
        <f>O116+P116</f>
        <v>0</v>
      </c>
      <c r="R116" s="189">
        <f>SUM(R117:R120)</f>
        <v>0</v>
      </c>
      <c r="S116" s="189">
        <f>SUM(S117:S120)</f>
        <v>0</v>
      </c>
      <c r="T116" s="190">
        <f>R116+S116</f>
        <v>0</v>
      </c>
      <c r="U116" s="189">
        <f>SUM(U117:U120)</f>
        <v>0</v>
      </c>
      <c r="V116" s="189">
        <f>SUM(V117:V120)</f>
        <v>0</v>
      </c>
      <c r="W116" s="190">
        <f>U116+V116</f>
        <v>0</v>
      </c>
      <c r="X116" s="190">
        <f>SUM(X117:X120)</f>
        <v>0</v>
      </c>
      <c r="Y116" s="190">
        <f>SUM(Y117:Y120)</f>
        <v>0</v>
      </c>
      <c r="Z116" s="190">
        <f t="shared" ref="Z116:Z134" si="158">X116+Y116</f>
        <v>0</v>
      </c>
      <c r="AA116" s="190">
        <f t="shared" ref="AA116:AB116" si="159">SUM(AA117:AA120)</f>
        <v>0</v>
      </c>
      <c r="AB116" s="190">
        <f t="shared" si="159"/>
        <v>0</v>
      </c>
      <c r="AC116" s="190">
        <f t="shared" ref="AC116:AC134" si="160">AA116+AB116</f>
        <v>0</v>
      </c>
      <c r="AD116" s="190">
        <f t="shared" ref="AD116:AD134" si="161">I116+L116+O116+R116+U116+X116+AA116</f>
        <v>7606970</v>
      </c>
      <c r="AE116" s="190">
        <f t="shared" ref="AE116:AE134" si="162">J116+M116+P116+S116+V116+Y116+AB116</f>
        <v>0</v>
      </c>
      <c r="AF116" s="190">
        <f>AD116+AE116</f>
        <v>7606970</v>
      </c>
      <c r="AG116" s="189">
        <f>SUM(AG117:AG120)</f>
        <v>7606970</v>
      </c>
      <c r="AH116" s="189">
        <f>SUM(AH117:AH120)</f>
        <v>0</v>
      </c>
      <c r="AI116" s="190">
        <f>AG116+AH116</f>
        <v>7606970</v>
      </c>
      <c r="AJ116" s="189">
        <f>SUM(AJ117:AJ120)</f>
        <v>0</v>
      </c>
      <c r="AK116" s="189">
        <f>SUM(AK117:AK120)</f>
        <v>0</v>
      </c>
      <c r="AL116" s="197"/>
      <c r="AM116" s="197">
        <f>AJ116+AK116</f>
        <v>0</v>
      </c>
      <c r="AN116" s="189">
        <f>SUM(AN117:AN120)</f>
        <v>0</v>
      </c>
      <c r="AO116" s="189">
        <f>SUM(AO117:AO120)</f>
        <v>0</v>
      </c>
      <c r="AP116" s="197">
        <f>AN116+AO116</f>
        <v>0</v>
      </c>
      <c r="AQ116" s="193">
        <f>SUM(AP116+AM116+AI116)-AF116</f>
        <v>0</v>
      </c>
      <c r="AR116" s="47"/>
    </row>
    <row r="117" spans="2:44" ht="90.75" customHeight="1">
      <c r="B117" s="61" t="s">
        <v>111</v>
      </c>
      <c r="C117" s="402" t="s">
        <v>432</v>
      </c>
      <c r="D117" s="73"/>
      <c r="E117" s="323" t="s">
        <v>430</v>
      </c>
      <c r="F117" s="387"/>
      <c r="G117" s="400">
        <v>2024</v>
      </c>
      <c r="H117" s="400">
        <v>2024</v>
      </c>
      <c r="I117" s="7">
        <v>1086710</v>
      </c>
      <c r="J117" s="7">
        <v>0</v>
      </c>
      <c r="K117" s="257">
        <f>SUM(I117:J117)</f>
        <v>1086710</v>
      </c>
      <c r="L117" s="7">
        <v>0</v>
      </c>
      <c r="M117" s="7">
        <v>0</v>
      </c>
      <c r="N117" s="257">
        <f>SUM(L117:M117)</f>
        <v>0</v>
      </c>
      <c r="O117" s="8">
        <v>0</v>
      </c>
      <c r="P117" s="64">
        <v>0</v>
      </c>
      <c r="Q117" s="257">
        <f>SUM(O117:P117)</f>
        <v>0</v>
      </c>
      <c r="R117" s="8">
        <v>0</v>
      </c>
      <c r="S117" s="64">
        <v>0</v>
      </c>
      <c r="T117" s="257">
        <f>SUM(R117:S117)</f>
        <v>0</v>
      </c>
      <c r="U117" s="8">
        <v>0</v>
      </c>
      <c r="V117" s="64">
        <v>0</v>
      </c>
      <c r="W117" s="257">
        <f>SUM(U117:V117)</f>
        <v>0</v>
      </c>
      <c r="X117" s="64">
        <v>0</v>
      </c>
      <c r="Y117" s="64">
        <v>0</v>
      </c>
      <c r="Z117" s="257">
        <f t="shared" si="158"/>
        <v>0</v>
      </c>
      <c r="AA117" s="64">
        <v>0</v>
      </c>
      <c r="AB117" s="64">
        <v>0</v>
      </c>
      <c r="AC117" s="257">
        <f t="shared" si="160"/>
        <v>0</v>
      </c>
      <c r="AD117" s="8">
        <f t="shared" si="161"/>
        <v>1086710</v>
      </c>
      <c r="AE117" s="8">
        <f t="shared" si="162"/>
        <v>0</v>
      </c>
      <c r="AF117" s="257">
        <f>SUM(AD117:AE117)</f>
        <v>1086710</v>
      </c>
      <c r="AG117" s="8">
        <v>1086710</v>
      </c>
      <c r="AH117" s="8">
        <f>M117+P117+S117+V117+AE117</f>
        <v>0</v>
      </c>
      <c r="AI117" s="257">
        <f>SUM(AG117:AH117)</f>
        <v>1086710</v>
      </c>
      <c r="AJ117" s="8">
        <v>0</v>
      </c>
      <c r="AK117" s="64">
        <v>0</v>
      </c>
      <c r="AL117" s="83"/>
      <c r="AM117" s="264">
        <f t="shared" ref="AM117:AM134" si="163">AJ117+AK117</f>
        <v>0</v>
      </c>
      <c r="AN117" s="8">
        <v>0</v>
      </c>
      <c r="AO117" s="64">
        <v>0</v>
      </c>
      <c r="AP117" s="264">
        <f>SUM(AN117:AO117)</f>
        <v>0</v>
      </c>
      <c r="AQ117" s="69">
        <f t="shared" ref="AQ117:AQ135" si="164">SUM(AP117+AM117+AI117)-AF117</f>
        <v>0</v>
      </c>
      <c r="AR117" s="47"/>
    </row>
    <row r="118" spans="2:44" ht="45" customHeight="1">
      <c r="B118" s="61" t="s">
        <v>112</v>
      </c>
      <c r="C118" s="403" t="s">
        <v>433</v>
      </c>
      <c r="D118" s="73"/>
      <c r="E118" s="39" t="s">
        <v>430</v>
      </c>
      <c r="F118" s="388"/>
      <c r="G118" s="401">
        <v>2024</v>
      </c>
      <c r="H118" s="401">
        <v>2024</v>
      </c>
      <c r="I118" s="7">
        <v>0</v>
      </c>
      <c r="J118" s="7">
        <v>0</v>
      </c>
      <c r="K118" s="257">
        <f>SUM(I118:J118)</f>
        <v>0</v>
      </c>
      <c r="L118" s="7">
        <v>0</v>
      </c>
      <c r="M118" s="7">
        <v>0</v>
      </c>
      <c r="N118" s="257">
        <f>SUM(L118:M118)</f>
        <v>0</v>
      </c>
      <c r="O118" s="8">
        <v>0</v>
      </c>
      <c r="P118" s="64">
        <v>0</v>
      </c>
      <c r="Q118" s="257">
        <f>SUM(O118:P118)</f>
        <v>0</v>
      </c>
      <c r="R118" s="8">
        <v>0</v>
      </c>
      <c r="S118" s="64">
        <v>0</v>
      </c>
      <c r="T118" s="257">
        <f>SUM(R118:S118)</f>
        <v>0</v>
      </c>
      <c r="U118" s="8">
        <v>0</v>
      </c>
      <c r="V118" s="64">
        <v>0</v>
      </c>
      <c r="W118" s="257">
        <f>SUM(U118:V118)</f>
        <v>0</v>
      </c>
      <c r="X118" s="64">
        <v>0</v>
      </c>
      <c r="Y118" s="64">
        <v>0</v>
      </c>
      <c r="Z118" s="257">
        <f t="shared" si="158"/>
        <v>0</v>
      </c>
      <c r="AA118" s="64">
        <v>0</v>
      </c>
      <c r="AB118" s="64">
        <v>0</v>
      </c>
      <c r="AC118" s="257">
        <f t="shared" si="160"/>
        <v>0</v>
      </c>
      <c r="AD118" s="8">
        <f t="shared" si="161"/>
        <v>0</v>
      </c>
      <c r="AE118" s="8">
        <f t="shared" si="162"/>
        <v>0</v>
      </c>
      <c r="AF118" s="257">
        <f>SUM(AD118:AE118)</f>
        <v>0</v>
      </c>
      <c r="AG118" s="8">
        <v>0</v>
      </c>
      <c r="AH118" s="8">
        <f>M118+P118+S118+V118+AE118</f>
        <v>0</v>
      </c>
      <c r="AI118" s="257">
        <f>SUM(AG118:AH118)</f>
        <v>0</v>
      </c>
      <c r="AJ118" s="8">
        <v>0</v>
      </c>
      <c r="AK118" s="64">
        <v>0</v>
      </c>
      <c r="AL118" s="83"/>
      <c r="AM118" s="264">
        <f t="shared" si="163"/>
        <v>0</v>
      </c>
      <c r="AN118" s="8">
        <v>0</v>
      </c>
      <c r="AO118" s="64">
        <v>0</v>
      </c>
      <c r="AP118" s="264">
        <f>SUM(AN118:AO118)</f>
        <v>0</v>
      </c>
      <c r="AQ118" s="69">
        <f t="shared" si="164"/>
        <v>0</v>
      </c>
      <c r="AR118" s="47"/>
    </row>
    <row r="119" spans="2:44" ht="63" customHeight="1">
      <c r="B119" s="61" t="s">
        <v>113</v>
      </c>
      <c r="C119" s="403" t="s">
        <v>1639</v>
      </c>
      <c r="D119" s="73"/>
      <c r="E119" s="39" t="s">
        <v>430</v>
      </c>
      <c r="F119" s="388"/>
      <c r="G119" s="401">
        <v>2025</v>
      </c>
      <c r="H119" s="401">
        <v>2025</v>
      </c>
      <c r="I119" s="7">
        <v>0</v>
      </c>
      <c r="J119" s="7">
        <v>0</v>
      </c>
      <c r="K119" s="257">
        <f>SUM(I119:J119)</f>
        <v>0</v>
      </c>
      <c r="L119" s="7">
        <v>2173420</v>
      </c>
      <c r="M119" s="7">
        <v>0</v>
      </c>
      <c r="N119" s="257">
        <f>SUM(L119:M119)</f>
        <v>2173420</v>
      </c>
      <c r="O119" s="8">
        <v>0</v>
      </c>
      <c r="P119" s="64">
        <v>0</v>
      </c>
      <c r="Q119" s="257">
        <f>SUM(O119:P119)</f>
        <v>0</v>
      </c>
      <c r="R119" s="8">
        <v>0</v>
      </c>
      <c r="S119" s="64">
        <v>0</v>
      </c>
      <c r="T119" s="257">
        <f>SUM(R119:S119)</f>
        <v>0</v>
      </c>
      <c r="U119" s="8">
        <v>0</v>
      </c>
      <c r="V119" s="64">
        <v>0</v>
      </c>
      <c r="W119" s="257">
        <f>SUM(U119:V119)</f>
        <v>0</v>
      </c>
      <c r="X119" s="64">
        <v>0</v>
      </c>
      <c r="Y119" s="64">
        <v>0</v>
      </c>
      <c r="Z119" s="257">
        <f t="shared" si="158"/>
        <v>0</v>
      </c>
      <c r="AA119" s="64">
        <v>0</v>
      </c>
      <c r="AB119" s="64">
        <v>0</v>
      </c>
      <c r="AC119" s="257">
        <f t="shared" si="160"/>
        <v>0</v>
      </c>
      <c r="AD119" s="8">
        <f t="shared" si="161"/>
        <v>2173420</v>
      </c>
      <c r="AE119" s="8">
        <f t="shared" si="162"/>
        <v>0</v>
      </c>
      <c r="AF119" s="257">
        <f>SUM(AD119:AE119)</f>
        <v>2173420</v>
      </c>
      <c r="AG119" s="8">
        <v>2173420</v>
      </c>
      <c r="AH119" s="8">
        <f>M119+P119+S119+V119+AE119</f>
        <v>0</v>
      </c>
      <c r="AI119" s="257">
        <f>SUM(AG119:AH119)</f>
        <v>2173420</v>
      </c>
      <c r="AJ119" s="8">
        <v>0</v>
      </c>
      <c r="AK119" s="64">
        <v>0</v>
      </c>
      <c r="AL119" s="83"/>
      <c r="AM119" s="264">
        <f t="shared" si="163"/>
        <v>0</v>
      </c>
      <c r="AN119" s="8">
        <v>0</v>
      </c>
      <c r="AO119" s="64">
        <v>0</v>
      </c>
      <c r="AP119" s="264">
        <f>SUM(AN119:AO119)</f>
        <v>0</v>
      </c>
      <c r="AQ119" s="69">
        <f t="shared" si="164"/>
        <v>0</v>
      </c>
      <c r="AR119" s="47"/>
    </row>
    <row r="120" spans="2:44" ht="90.75" customHeight="1" thickBot="1">
      <c r="B120" s="61" t="s">
        <v>114</v>
      </c>
      <c r="C120" s="770" t="s">
        <v>434</v>
      </c>
      <c r="D120" s="73"/>
      <c r="E120" s="389" t="s">
        <v>430</v>
      </c>
      <c r="F120" s="390" t="s">
        <v>431</v>
      </c>
      <c r="G120" s="404">
        <v>2024</v>
      </c>
      <c r="H120" s="404">
        <v>2025</v>
      </c>
      <c r="I120" s="7">
        <v>2173420</v>
      </c>
      <c r="J120" s="7">
        <v>0</v>
      </c>
      <c r="K120" s="257">
        <f>SUM(I120:J120)</f>
        <v>2173420</v>
      </c>
      <c r="L120" s="7">
        <v>2173420</v>
      </c>
      <c r="M120" s="7">
        <v>0</v>
      </c>
      <c r="N120" s="257">
        <f>SUM(L120:M120)</f>
        <v>2173420</v>
      </c>
      <c r="O120" s="8">
        <v>0</v>
      </c>
      <c r="P120" s="64">
        <v>0</v>
      </c>
      <c r="Q120" s="257">
        <f>SUM(O120:P120)</f>
        <v>0</v>
      </c>
      <c r="R120" s="8">
        <v>0</v>
      </c>
      <c r="S120" s="64">
        <v>0</v>
      </c>
      <c r="T120" s="257">
        <f>SUM(R120:S120)</f>
        <v>0</v>
      </c>
      <c r="U120" s="8">
        <v>0</v>
      </c>
      <c r="V120" s="64">
        <v>0</v>
      </c>
      <c r="W120" s="257">
        <f>SUM(U120:V120)</f>
        <v>0</v>
      </c>
      <c r="X120" s="64">
        <v>0</v>
      </c>
      <c r="Y120" s="64">
        <v>0</v>
      </c>
      <c r="Z120" s="257">
        <f t="shared" si="158"/>
        <v>0</v>
      </c>
      <c r="AA120" s="64">
        <v>0</v>
      </c>
      <c r="AB120" s="64">
        <v>0</v>
      </c>
      <c r="AC120" s="257">
        <f t="shared" si="160"/>
        <v>0</v>
      </c>
      <c r="AD120" s="8">
        <f t="shared" si="161"/>
        <v>4346840</v>
      </c>
      <c r="AE120" s="8">
        <f t="shared" si="162"/>
        <v>0</v>
      </c>
      <c r="AF120" s="257">
        <f>SUM(AD120:AE120)</f>
        <v>4346840</v>
      </c>
      <c r="AG120" s="8">
        <v>4346840</v>
      </c>
      <c r="AH120" s="8">
        <v>0</v>
      </c>
      <c r="AI120" s="257">
        <f>SUM(AG120:AH120)</f>
        <v>4346840</v>
      </c>
      <c r="AJ120" s="8">
        <v>0</v>
      </c>
      <c r="AK120" s="64">
        <v>0</v>
      </c>
      <c r="AL120" s="83"/>
      <c r="AM120" s="264">
        <f t="shared" si="163"/>
        <v>0</v>
      </c>
      <c r="AN120" s="8">
        <v>0</v>
      </c>
      <c r="AO120" s="8"/>
      <c r="AP120" s="264">
        <f>SUM(AN120:AO120)</f>
        <v>0</v>
      </c>
      <c r="AQ120" s="69">
        <f t="shared" si="164"/>
        <v>0</v>
      </c>
      <c r="AR120" s="47"/>
    </row>
    <row r="121" spans="2:44" s="46" customFormat="1" ht="85.5" customHeight="1">
      <c r="B121" s="198" t="s">
        <v>101</v>
      </c>
      <c r="C121" s="265" t="s">
        <v>436</v>
      </c>
      <c r="D121" s="199"/>
      <c r="E121" s="201" t="s">
        <v>437</v>
      </c>
      <c r="F121" s="202"/>
      <c r="G121" s="188">
        <v>2024</v>
      </c>
      <c r="H121" s="188">
        <v>2025</v>
      </c>
      <c r="I121" s="203">
        <f>SUM(I122:I125)</f>
        <v>0</v>
      </c>
      <c r="J121" s="203">
        <f>SUM(J122:J125)</f>
        <v>0</v>
      </c>
      <c r="K121" s="204">
        <f>I121+J121</f>
        <v>0</v>
      </c>
      <c r="L121" s="203">
        <f t="shared" ref="L121:M121" si="165">SUM(L122:L125)</f>
        <v>2173420</v>
      </c>
      <c r="M121" s="203">
        <f t="shared" si="165"/>
        <v>0</v>
      </c>
      <c r="N121" s="204">
        <f>L121+M121</f>
        <v>2173420</v>
      </c>
      <c r="O121" s="203">
        <f t="shared" ref="O121:P121" si="166">SUM(O122:O125)</f>
        <v>3260130</v>
      </c>
      <c r="P121" s="203">
        <f t="shared" si="166"/>
        <v>0</v>
      </c>
      <c r="Q121" s="204">
        <f>O121+P121</f>
        <v>3260130</v>
      </c>
      <c r="R121" s="203">
        <f t="shared" ref="R121:S121" si="167">SUM(R122:R125)</f>
        <v>0</v>
      </c>
      <c r="S121" s="203">
        <f t="shared" si="167"/>
        <v>0</v>
      </c>
      <c r="T121" s="204">
        <f>R121+S121</f>
        <v>0</v>
      </c>
      <c r="U121" s="203">
        <f t="shared" ref="U121:V121" si="168">SUM(U122:U125)</f>
        <v>0</v>
      </c>
      <c r="V121" s="203">
        <f t="shared" si="168"/>
        <v>0</v>
      </c>
      <c r="W121" s="204">
        <f>U121+V121</f>
        <v>0</v>
      </c>
      <c r="X121" s="204">
        <f t="shared" ref="X121:Y121" si="169">SUM(X122:X125)</f>
        <v>0</v>
      </c>
      <c r="Y121" s="204">
        <f t="shared" si="169"/>
        <v>0</v>
      </c>
      <c r="Z121" s="204">
        <f t="shared" si="158"/>
        <v>0</v>
      </c>
      <c r="AA121" s="204">
        <f t="shared" ref="AA121:AB121" si="170">SUM(AA122:AA125)</f>
        <v>0</v>
      </c>
      <c r="AB121" s="204">
        <f t="shared" si="170"/>
        <v>0</v>
      </c>
      <c r="AC121" s="204">
        <f t="shared" si="160"/>
        <v>0</v>
      </c>
      <c r="AD121" s="203">
        <f t="shared" si="161"/>
        <v>5433550</v>
      </c>
      <c r="AE121" s="203">
        <f t="shared" si="162"/>
        <v>0</v>
      </c>
      <c r="AF121" s="190">
        <f>AD121+AE121</f>
        <v>5433550</v>
      </c>
      <c r="AG121" s="203">
        <f t="shared" ref="AG121:AH121" si="171">SUM(AG122:AG125)</f>
        <v>5433550</v>
      </c>
      <c r="AH121" s="203">
        <f t="shared" si="171"/>
        <v>0</v>
      </c>
      <c r="AI121" s="190">
        <f>AG121+AH121</f>
        <v>5433550</v>
      </c>
      <c r="AJ121" s="203">
        <f t="shared" ref="AJ121:AK121" si="172">SUM(AJ122:AJ125)</f>
        <v>0</v>
      </c>
      <c r="AK121" s="203">
        <f t="shared" si="172"/>
        <v>0</v>
      </c>
      <c r="AL121" s="205"/>
      <c r="AM121" s="205">
        <f>AJ121+AK121</f>
        <v>0</v>
      </c>
      <c r="AN121" s="203">
        <f t="shared" ref="AN121:AO121" si="173">SUM(AN122:AN125)</f>
        <v>0</v>
      </c>
      <c r="AO121" s="203">
        <f t="shared" si="173"/>
        <v>0</v>
      </c>
      <c r="AP121" s="205">
        <f>AN121+AO121</f>
        <v>0</v>
      </c>
      <c r="AQ121" s="193">
        <f t="shared" si="164"/>
        <v>0</v>
      </c>
      <c r="AR121" s="41"/>
    </row>
    <row r="122" spans="2:44" s="46" customFormat="1" ht="85.5" customHeight="1">
      <c r="B122" s="35" t="s">
        <v>115</v>
      </c>
      <c r="C122" s="66" t="s">
        <v>1634</v>
      </c>
      <c r="D122" s="73"/>
      <c r="E122" s="39" t="s">
        <v>437</v>
      </c>
      <c r="F122" s="39"/>
      <c r="G122" s="405">
        <v>2025</v>
      </c>
      <c r="H122" s="405">
        <v>2025</v>
      </c>
      <c r="I122" s="7">
        <v>0</v>
      </c>
      <c r="J122" s="7">
        <v>0</v>
      </c>
      <c r="K122" s="257">
        <f t="shared" ref="K122:K134" si="174">SUM(I122:J122)</f>
        <v>0</v>
      </c>
      <c r="L122" s="7">
        <v>2173420</v>
      </c>
      <c r="M122" s="7">
        <v>0</v>
      </c>
      <c r="N122" s="257">
        <f t="shared" ref="N122:N134" si="175">SUM(L122:M122)</f>
        <v>2173420</v>
      </c>
      <c r="O122" s="8">
        <v>0</v>
      </c>
      <c r="P122" s="64">
        <v>0</v>
      </c>
      <c r="Q122" s="257">
        <f t="shared" ref="Q122:Q134" si="176">SUM(O122:P122)</f>
        <v>0</v>
      </c>
      <c r="R122" s="8">
        <v>0</v>
      </c>
      <c r="S122" s="64">
        <v>0</v>
      </c>
      <c r="T122" s="257">
        <f t="shared" ref="T122:T134" si="177">SUM(R122:S122)</f>
        <v>0</v>
      </c>
      <c r="U122" s="8">
        <v>0</v>
      </c>
      <c r="V122" s="64">
        <v>0</v>
      </c>
      <c r="W122" s="257">
        <f t="shared" ref="W122:W134" si="178">SUM(U122:V122)</f>
        <v>0</v>
      </c>
      <c r="X122" s="8">
        <v>0</v>
      </c>
      <c r="Y122" s="64">
        <v>0</v>
      </c>
      <c r="Z122" s="257">
        <f t="shared" si="158"/>
        <v>0</v>
      </c>
      <c r="AA122" s="8">
        <v>0</v>
      </c>
      <c r="AB122" s="64">
        <v>0</v>
      </c>
      <c r="AC122" s="257">
        <f t="shared" si="160"/>
        <v>0</v>
      </c>
      <c r="AD122" s="8">
        <f t="shared" si="161"/>
        <v>2173420</v>
      </c>
      <c r="AE122" s="8">
        <f t="shared" si="162"/>
        <v>0</v>
      </c>
      <c r="AF122" s="257">
        <f t="shared" ref="AF122:AF134" si="179">SUM(AD122:AE122)</f>
        <v>2173420</v>
      </c>
      <c r="AG122" s="8">
        <v>2173420</v>
      </c>
      <c r="AH122" s="64">
        <v>0</v>
      </c>
      <c r="AI122" s="257">
        <f t="shared" ref="AI122:AI134" si="180">SUM(AG122:AH122)</f>
        <v>2173420</v>
      </c>
      <c r="AJ122" s="8">
        <v>0</v>
      </c>
      <c r="AK122" s="64">
        <v>0</v>
      </c>
      <c r="AL122" s="84"/>
      <c r="AM122" s="266">
        <f t="shared" si="163"/>
        <v>0</v>
      </c>
      <c r="AN122" s="8">
        <v>0</v>
      </c>
      <c r="AO122" s="64">
        <v>0</v>
      </c>
      <c r="AP122" s="266">
        <f t="shared" ref="AP122:AP134" si="181">SUM(AN122:AO122)</f>
        <v>0</v>
      </c>
      <c r="AQ122" s="170">
        <f t="shared" si="164"/>
        <v>0</v>
      </c>
      <c r="AR122" s="41"/>
    </row>
    <row r="123" spans="2:44" s="46" customFormat="1" ht="52.9" customHeight="1">
      <c r="B123" s="35" t="s">
        <v>116</v>
      </c>
      <c r="C123" s="66" t="s">
        <v>1635</v>
      </c>
      <c r="D123" s="73"/>
      <c r="E123" s="39" t="s">
        <v>437</v>
      </c>
      <c r="F123" s="39"/>
      <c r="G123" s="406">
        <v>2025</v>
      </c>
      <c r="H123" s="406">
        <v>2026</v>
      </c>
      <c r="I123" s="7">
        <v>0</v>
      </c>
      <c r="J123" s="7">
        <v>0</v>
      </c>
      <c r="K123" s="257">
        <f t="shared" si="174"/>
        <v>0</v>
      </c>
      <c r="L123" s="7">
        <v>0</v>
      </c>
      <c r="M123" s="7">
        <v>0</v>
      </c>
      <c r="N123" s="257">
        <f t="shared" si="175"/>
        <v>0</v>
      </c>
      <c r="O123" s="8">
        <v>0</v>
      </c>
      <c r="P123" s="64">
        <v>0</v>
      </c>
      <c r="Q123" s="257">
        <f t="shared" si="176"/>
        <v>0</v>
      </c>
      <c r="R123" s="8">
        <v>0</v>
      </c>
      <c r="S123" s="64">
        <v>0</v>
      </c>
      <c r="T123" s="257">
        <f t="shared" si="177"/>
        <v>0</v>
      </c>
      <c r="U123" s="8">
        <v>0</v>
      </c>
      <c r="V123" s="64">
        <v>0</v>
      </c>
      <c r="W123" s="257">
        <f t="shared" si="178"/>
        <v>0</v>
      </c>
      <c r="X123" s="8">
        <v>0</v>
      </c>
      <c r="Y123" s="64">
        <v>0</v>
      </c>
      <c r="Z123" s="257">
        <f t="shared" si="158"/>
        <v>0</v>
      </c>
      <c r="AA123" s="8">
        <v>0</v>
      </c>
      <c r="AB123" s="64">
        <v>0</v>
      </c>
      <c r="AC123" s="257">
        <f t="shared" si="160"/>
        <v>0</v>
      </c>
      <c r="AD123" s="8">
        <f t="shared" si="161"/>
        <v>0</v>
      </c>
      <c r="AE123" s="8">
        <f t="shared" si="162"/>
        <v>0</v>
      </c>
      <c r="AF123" s="257">
        <f t="shared" si="179"/>
        <v>0</v>
      </c>
      <c r="AG123" s="8">
        <v>0</v>
      </c>
      <c r="AH123" s="64">
        <v>0</v>
      </c>
      <c r="AI123" s="257">
        <f t="shared" si="180"/>
        <v>0</v>
      </c>
      <c r="AJ123" s="8">
        <v>0</v>
      </c>
      <c r="AK123" s="64">
        <v>0</v>
      </c>
      <c r="AL123" s="84"/>
      <c r="AM123" s="266">
        <f t="shared" si="163"/>
        <v>0</v>
      </c>
      <c r="AN123" s="8">
        <v>0</v>
      </c>
      <c r="AO123" s="64">
        <v>0</v>
      </c>
      <c r="AP123" s="266">
        <f t="shared" si="181"/>
        <v>0</v>
      </c>
      <c r="AQ123" s="170">
        <f t="shared" si="164"/>
        <v>0</v>
      </c>
      <c r="AR123" s="41"/>
    </row>
    <row r="124" spans="2:44" s="46" customFormat="1" ht="57.6" customHeight="1">
      <c r="B124" s="35" t="s">
        <v>117</v>
      </c>
      <c r="C124" s="66" t="s">
        <v>1636</v>
      </c>
      <c r="D124" s="73"/>
      <c r="E124" s="39" t="s">
        <v>437</v>
      </c>
      <c r="F124" s="39"/>
      <c r="G124" s="406">
        <v>2026</v>
      </c>
      <c r="H124" s="406">
        <v>2026</v>
      </c>
      <c r="I124" s="7">
        <v>0</v>
      </c>
      <c r="J124" s="7">
        <v>0</v>
      </c>
      <c r="K124" s="257">
        <f t="shared" si="174"/>
        <v>0</v>
      </c>
      <c r="L124" s="7">
        <v>0</v>
      </c>
      <c r="M124" s="7">
        <v>0</v>
      </c>
      <c r="N124" s="257">
        <f t="shared" si="175"/>
        <v>0</v>
      </c>
      <c r="O124" s="8">
        <v>1086710</v>
      </c>
      <c r="P124" s="64">
        <v>0</v>
      </c>
      <c r="Q124" s="257">
        <f t="shared" si="176"/>
        <v>1086710</v>
      </c>
      <c r="R124" s="8">
        <v>0</v>
      </c>
      <c r="S124" s="64">
        <v>0</v>
      </c>
      <c r="T124" s="257">
        <f t="shared" si="177"/>
        <v>0</v>
      </c>
      <c r="U124" s="8">
        <v>0</v>
      </c>
      <c r="V124" s="64">
        <v>0</v>
      </c>
      <c r="W124" s="257">
        <f t="shared" si="178"/>
        <v>0</v>
      </c>
      <c r="X124" s="8">
        <v>0</v>
      </c>
      <c r="Y124" s="64">
        <v>0</v>
      </c>
      <c r="Z124" s="257">
        <f t="shared" si="158"/>
        <v>0</v>
      </c>
      <c r="AA124" s="8">
        <v>0</v>
      </c>
      <c r="AB124" s="64">
        <v>0</v>
      </c>
      <c r="AC124" s="257">
        <f t="shared" si="160"/>
        <v>0</v>
      </c>
      <c r="AD124" s="8">
        <f t="shared" si="161"/>
        <v>1086710</v>
      </c>
      <c r="AE124" s="8">
        <f t="shared" si="162"/>
        <v>0</v>
      </c>
      <c r="AF124" s="257">
        <f t="shared" si="179"/>
        <v>1086710</v>
      </c>
      <c r="AG124" s="8">
        <v>1086710</v>
      </c>
      <c r="AH124" s="64">
        <v>0</v>
      </c>
      <c r="AI124" s="257">
        <f t="shared" si="180"/>
        <v>1086710</v>
      </c>
      <c r="AJ124" s="8">
        <v>0</v>
      </c>
      <c r="AK124" s="64">
        <v>0</v>
      </c>
      <c r="AL124" s="84"/>
      <c r="AM124" s="266">
        <f t="shared" si="163"/>
        <v>0</v>
      </c>
      <c r="AN124" s="8">
        <v>0</v>
      </c>
      <c r="AO124" s="64">
        <v>0</v>
      </c>
      <c r="AP124" s="266">
        <f t="shared" si="181"/>
        <v>0</v>
      </c>
      <c r="AQ124" s="170">
        <f t="shared" si="164"/>
        <v>0</v>
      </c>
      <c r="AR124" s="41"/>
    </row>
    <row r="125" spans="2:44" s="46" customFormat="1" ht="47.45" customHeight="1" thickBot="1">
      <c r="B125" s="35" t="s">
        <v>118</v>
      </c>
      <c r="C125" s="66" t="s">
        <v>1637</v>
      </c>
      <c r="D125" s="73"/>
      <c r="E125" s="39" t="s">
        <v>437</v>
      </c>
      <c r="F125" s="39"/>
      <c r="G125" s="407">
        <v>2026</v>
      </c>
      <c r="H125" s="407">
        <v>2026</v>
      </c>
      <c r="I125" s="7">
        <v>0</v>
      </c>
      <c r="J125" s="7">
        <v>0</v>
      </c>
      <c r="K125" s="257">
        <f t="shared" si="174"/>
        <v>0</v>
      </c>
      <c r="L125" s="7">
        <v>0</v>
      </c>
      <c r="M125" s="7">
        <v>0</v>
      </c>
      <c r="N125" s="257">
        <f t="shared" si="175"/>
        <v>0</v>
      </c>
      <c r="O125" s="8">
        <v>2173420</v>
      </c>
      <c r="P125" s="64">
        <v>0</v>
      </c>
      <c r="Q125" s="257">
        <f t="shared" si="176"/>
        <v>2173420</v>
      </c>
      <c r="R125" s="8">
        <v>0</v>
      </c>
      <c r="S125" s="64">
        <v>0</v>
      </c>
      <c r="T125" s="257">
        <f t="shared" si="177"/>
        <v>0</v>
      </c>
      <c r="U125" s="8">
        <v>0</v>
      </c>
      <c r="V125" s="64">
        <v>0</v>
      </c>
      <c r="W125" s="257">
        <f t="shared" si="178"/>
        <v>0</v>
      </c>
      <c r="X125" s="8">
        <v>0</v>
      </c>
      <c r="Y125" s="64">
        <v>0</v>
      </c>
      <c r="Z125" s="257">
        <f t="shared" si="158"/>
        <v>0</v>
      </c>
      <c r="AA125" s="8">
        <v>0</v>
      </c>
      <c r="AB125" s="64">
        <v>0</v>
      </c>
      <c r="AC125" s="257">
        <f t="shared" si="160"/>
        <v>0</v>
      </c>
      <c r="AD125" s="8">
        <f t="shared" si="161"/>
        <v>2173420</v>
      </c>
      <c r="AE125" s="8">
        <f t="shared" si="162"/>
        <v>0</v>
      </c>
      <c r="AF125" s="257">
        <f t="shared" si="179"/>
        <v>2173420</v>
      </c>
      <c r="AG125" s="8">
        <v>2173420</v>
      </c>
      <c r="AH125" s="64">
        <v>0</v>
      </c>
      <c r="AI125" s="257">
        <f t="shared" si="180"/>
        <v>2173420</v>
      </c>
      <c r="AJ125" s="8">
        <v>0</v>
      </c>
      <c r="AK125" s="64">
        <v>0</v>
      </c>
      <c r="AL125" s="84"/>
      <c r="AM125" s="266">
        <f t="shared" si="163"/>
        <v>0</v>
      </c>
      <c r="AN125" s="8">
        <v>0</v>
      </c>
      <c r="AO125" s="64">
        <v>0</v>
      </c>
      <c r="AP125" s="266">
        <f t="shared" si="181"/>
        <v>0</v>
      </c>
      <c r="AQ125" s="170">
        <f t="shared" si="164"/>
        <v>0</v>
      </c>
      <c r="AR125" s="41"/>
    </row>
    <row r="126" spans="2:44" s="46" customFormat="1" ht="85.5" customHeight="1">
      <c r="B126" s="210" t="s">
        <v>435</v>
      </c>
      <c r="C126" s="267" t="s">
        <v>439</v>
      </c>
      <c r="D126" s="813"/>
      <c r="E126" s="661" t="s">
        <v>440</v>
      </c>
      <c r="F126" s="192"/>
      <c r="G126" s="350">
        <v>2024</v>
      </c>
      <c r="H126" s="350">
        <v>2024</v>
      </c>
      <c r="I126" s="189">
        <f>SUM(I127:I128)</f>
        <v>3486710</v>
      </c>
      <c r="J126" s="189">
        <f>SUM(J127:J128)</f>
        <v>0</v>
      </c>
      <c r="K126" s="190">
        <f>I126+J126</f>
        <v>3486710</v>
      </c>
      <c r="L126" s="189">
        <f t="shared" ref="L126:M126" si="182">SUM(L127:L128)</f>
        <v>0</v>
      </c>
      <c r="M126" s="189">
        <f t="shared" si="182"/>
        <v>0</v>
      </c>
      <c r="N126" s="190">
        <f>L126+M126</f>
        <v>0</v>
      </c>
      <c r="O126" s="190">
        <f t="shared" ref="O126:P126" si="183">SUM(O127:O128)</f>
        <v>0</v>
      </c>
      <c r="P126" s="190">
        <f t="shared" si="183"/>
        <v>0</v>
      </c>
      <c r="Q126" s="190">
        <f>O126+P126</f>
        <v>0</v>
      </c>
      <c r="R126" s="190">
        <f t="shared" ref="R126:S126" si="184">SUM(R127:R128)</f>
        <v>0</v>
      </c>
      <c r="S126" s="190">
        <f t="shared" si="184"/>
        <v>0</v>
      </c>
      <c r="T126" s="190">
        <f>R126+S126</f>
        <v>0</v>
      </c>
      <c r="U126" s="190">
        <f t="shared" ref="U126:V126" si="185">SUM(U127:U128)</f>
        <v>0</v>
      </c>
      <c r="V126" s="190">
        <f t="shared" si="185"/>
        <v>0</v>
      </c>
      <c r="W126" s="190">
        <f>U126+V126</f>
        <v>0</v>
      </c>
      <c r="X126" s="190">
        <f t="shared" ref="X126:Y126" si="186">SUM(X127:X128)</f>
        <v>0</v>
      </c>
      <c r="Y126" s="190">
        <f t="shared" si="186"/>
        <v>0</v>
      </c>
      <c r="Z126" s="190">
        <f t="shared" ref="Z126" si="187">X126+Y126</f>
        <v>0</v>
      </c>
      <c r="AA126" s="190">
        <f t="shared" ref="AA126:AB126" si="188">SUM(AA127:AA128)</f>
        <v>0</v>
      </c>
      <c r="AB126" s="190">
        <f t="shared" si="188"/>
        <v>0</v>
      </c>
      <c r="AC126" s="190">
        <f t="shared" ref="AC126" si="189">AA126+AB126</f>
        <v>0</v>
      </c>
      <c r="AD126" s="190">
        <f t="shared" ref="AD126" si="190">I126+L126+O126+R126+U126+X126+AA126</f>
        <v>3486710</v>
      </c>
      <c r="AE126" s="190">
        <f t="shared" ref="AE126" si="191">J126+M126+P126+S126+V126+Y126+AB126</f>
        <v>0</v>
      </c>
      <c r="AF126" s="190">
        <f>AD126+AE126</f>
        <v>3486710</v>
      </c>
      <c r="AG126" s="190">
        <f t="shared" ref="AG126:AH126" si="192">SUM(AG127:AG128)</f>
        <v>1086710</v>
      </c>
      <c r="AH126" s="190">
        <f t="shared" si="192"/>
        <v>0</v>
      </c>
      <c r="AI126" s="190">
        <f>AG126+AH126</f>
        <v>1086710</v>
      </c>
      <c r="AJ126" s="190">
        <f t="shared" ref="AJ126:AK126" si="193">SUM(AJ127:AJ128)</f>
        <v>0</v>
      </c>
      <c r="AK126" s="190">
        <f t="shared" si="193"/>
        <v>0</v>
      </c>
      <c r="AL126" s="205"/>
      <c r="AM126" s="205">
        <f>AJ126+AK126</f>
        <v>0</v>
      </c>
      <c r="AN126" s="190">
        <f t="shared" ref="AN126:AO126" si="194">SUM(AN127:AN128)</f>
        <v>0</v>
      </c>
      <c r="AO126" s="190">
        <f t="shared" si="194"/>
        <v>0</v>
      </c>
      <c r="AP126" s="205">
        <f>AN126+AO126</f>
        <v>0</v>
      </c>
      <c r="AQ126" s="211">
        <f t="shared" ref="AQ126" si="195">SUM(AP126+AM126+AI126)-AF126</f>
        <v>-2400000</v>
      </c>
      <c r="AR126" s="41"/>
    </row>
    <row r="127" spans="2:44" s="46" customFormat="1" ht="61.15" customHeight="1">
      <c r="B127" s="35" t="s">
        <v>438</v>
      </c>
      <c r="C127" s="66" t="s">
        <v>1640</v>
      </c>
      <c r="D127" s="73"/>
      <c r="E127" s="39" t="s">
        <v>440</v>
      </c>
      <c r="F127" s="120"/>
      <c r="G127" s="70">
        <v>2024</v>
      </c>
      <c r="H127" s="70">
        <v>2024</v>
      </c>
      <c r="I127" s="7">
        <v>1086710</v>
      </c>
      <c r="J127" s="7">
        <v>0</v>
      </c>
      <c r="K127" s="257">
        <f t="shared" si="174"/>
        <v>1086710</v>
      </c>
      <c r="L127" s="7">
        <v>0</v>
      </c>
      <c r="M127" s="7">
        <v>0</v>
      </c>
      <c r="N127" s="257">
        <f t="shared" si="175"/>
        <v>0</v>
      </c>
      <c r="O127" s="7">
        <v>0</v>
      </c>
      <c r="P127" s="7">
        <v>0</v>
      </c>
      <c r="Q127" s="257">
        <f t="shared" si="176"/>
        <v>0</v>
      </c>
      <c r="R127" s="7">
        <v>0</v>
      </c>
      <c r="S127" s="7">
        <v>0</v>
      </c>
      <c r="T127" s="257">
        <f t="shared" si="177"/>
        <v>0</v>
      </c>
      <c r="U127" s="7">
        <v>0</v>
      </c>
      <c r="V127" s="7">
        <v>0</v>
      </c>
      <c r="W127" s="257">
        <f t="shared" si="178"/>
        <v>0</v>
      </c>
      <c r="X127" s="7">
        <v>0</v>
      </c>
      <c r="Y127" s="7">
        <v>0</v>
      </c>
      <c r="Z127" s="257">
        <f t="shared" si="158"/>
        <v>0</v>
      </c>
      <c r="AA127" s="7">
        <v>0</v>
      </c>
      <c r="AB127" s="7">
        <v>0</v>
      </c>
      <c r="AC127" s="257">
        <f t="shared" si="160"/>
        <v>0</v>
      </c>
      <c r="AD127" s="8">
        <f t="shared" si="161"/>
        <v>1086710</v>
      </c>
      <c r="AE127" s="8">
        <f t="shared" si="162"/>
        <v>0</v>
      </c>
      <c r="AF127" s="257">
        <f t="shared" si="179"/>
        <v>1086710</v>
      </c>
      <c r="AG127" s="8">
        <v>1086710</v>
      </c>
      <c r="AH127" s="64">
        <v>0</v>
      </c>
      <c r="AI127" s="257">
        <f t="shared" si="180"/>
        <v>1086710</v>
      </c>
      <c r="AJ127" s="8">
        <v>0</v>
      </c>
      <c r="AK127" s="64">
        <v>0</v>
      </c>
      <c r="AL127" s="84"/>
      <c r="AM127" s="266">
        <f t="shared" si="163"/>
        <v>0</v>
      </c>
      <c r="AN127" s="8">
        <v>0</v>
      </c>
      <c r="AO127" s="64">
        <v>0</v>
      </c>
      <c r="AP127" s="266">
        <f t="shared" si="181"/>
        <v>0</v>
      </c>
      <c r="AQ127" s="170">
        <f t="shared" si="164"/>
        <v>0</v>
      </c>
      <c r="AR127" s="41"/>
    </row>
    <row r="128" spans="2:44" s="46" customFormat="1" ht="63" customHeight="1">
      <c r="B128" s="35" t="s">
        <v>190</v>
      </c>
      <c r="C128" s="66" t="s">
        <v>1641</v>
      </c>
      <c r="D128" s="73"/>
      <c r="E128" s="39" t="s">
        <v>440</v>
      </c>
      <c r="F128" s="39"/>
      <c r="G128" s="70">
        <v>2024</v>
      </c>
      <c r="H128" s="70">
        <v>2024</v>
      </c>
      <c r="I128" s="7">
        <v>2400000</v>
      </c>
      <c r="J128" s="7">
        <v>0</v>
      </c>
      <c r="K128" s="257">
        <f t="shared" si="174"/>
        <v>2400000</v>
      </c>
      <c r="L128" s="7">
        <v>0</v>
      </c>
      <c r="M128" s="7">
        <v>0</v>
      </c>
      <c r="N128" s="257">
        <f t="shared" si="175"/>
        <v>0</v>
      </c>
      <c r="O128" s="7">
        <v>0</v>
      </c>
      <c r="P128" s="7">
        <v>0</v>
      </c>
      <c r="Q128" s="257">
        <f t="shared" si="176"/>
        <v>0</v>
      </c>
      <c r="R128" s="7">
        <v>0</v>
      </c>
      <c r="S128" s="7">
        <v>0</v>
      </c>
      <c r="T128" s="257">
        <f t="shared" si="177"/>
        <v>0</v>
      </c>
      <c r="U128" s="7">
        <v>0</v>
      </c>
      <c r="V128" s="7">
        <v>0</v>
      </c>
      <c r="W128" s="257">
        <f t="shared" si="178"/>
        <v>0</v>
      </c>
      <c r="X128" s="7">
        <v>0</v>
      </c>
      <c r="Y128" s="7">
        <v>0</v>
      </c>
      <c r="Z128" s="257">
        <f t="shared" si="158"/>
        <v>0</v>
      </c>
      <c r="AA128" s="7">
        <v>0</v>
      </c>
      <c r="AB128" s="7">
        <v>0</v>
      </c>
      <c r="AC128" s="257">
        <f t="shared" si="160"/>
        <v>0</v>
      </c>
      <c r="AD128" s="8">
        <f t="shared" si="161"/>
        <v>2400000</v>
      </c>
      <c r="AE128" s="8">
        <f t="shared" si="162"/>
        <v>0</v>
      </c>
      <c r="AF128" s="257">
        <f t="shared" si="179"/>
        <v>2400000</v>
      </c>
      <c r="AG128" s="8">
        <v>0</v>
      </c>
      <c r="AH128" s="64">
        <v>0</v>
      </c>
      <c r="AI128" s="257">
        <f t="shared" si="180"/>
        <v>0</v>
      </c>
      <c r="AJ128" s="8">
        <v>0</v>
      </c>
      <c r="AK128" s="64">
        <v>0</v>
      </c>
      <c r="AL128" s="84"/>
      <c r="AM128" s="266">
        <f t="shared" si="163"/>
        <v>0</v>
      </c>
      <c r="AN128" s="8">
        <v>0</v>
      </c>
      <c r="AO128" s="64">
        <v>0</v>
      </c>
      <c r="AP128" s="266">
        <f t="shared" si="181"/>
        <v>0</v>
      </c>
      <c r="AQ128" s="170">
        <f t="shared" si="164"/>
        <v>-2400000</v>
      </c>
      <c r="AR128" s="41"/>
    </row>
    <row r="129" spans="1:44" s="46" customFormat="1" ht="85.5" customHeight="1" thickBot="1">
      <c r="B129" s="210" t="s">
        <v>442</v>
      </c>
      <c r="C129" s="258" t="s">
        <v>441</v>
      </c>
      <c r="D129" s="183"/>
      <c r="E129" s="192" t="s">
        <v>450</v>
      </c>
      <c r="F129" s="192"/>
      <c r="G129" s="350">
        <v>2025</v>
      </c>
      <c r="H129" s="350">
        <v>2030</v>
      </c>
      <c r="I129" s="189">
        <f>SUM(I130:I134)</f>
        <v>3260130</v>
      </c>
      <c r="J129" s="189">
        <f>SUM(J130:J134)</f>
        <v>0</v>
      </c>
      <c r="K129" s="190">
        <f t="shared" si="174"/>
        <v>3260130</v>
      </c>
      <c r="L129" s="189">
        <f>SUM(L130:L134)</f>
        <v>10039465.199999999</v>
      </c>
      <c r="M129" s="189">
        <f>SUM(M130:M134)</f>
        <v>0</v>
      </c>
      <c r="N129" s="190">
        <f t="shared" si="175"/>
        <v>10039465.199999999</v>
      </c>
      <c r="O129" s="190">
        <f>SUM(O130:O134)</f>
        <v>7606970</v>
      </c>
      <c r="P129" s="190">
        <f>SUM(P130:P134)</f>
        <v>0</v>
      </c>
      <c r="Q129" s="190">
        <f t="shared" si="176"/>
        <v>7606970</v>
      </c>
      <c r="R129" s="190">
        <f>SUM(R130:R134)</f>
        <v>7606970</v>
      </c>
      <c r="S129" s="190">
        <f>SUM(S130:S134)</f>
        <v>0</v>
      </c>
      <c r="T129" s="190">
        <f t="shared" si="177"/>
        <v>7606970</v>
      </c>
      <c r="U129" s="190">
        <f>SUM(U130:U134)</f>
        <v>4346840</v>
      </c>
      <c r="V129" s="190">
        <f>SUM(V130:V134)</f>
        <v>0</v>
      </c>
      <c r="W129" s="190">
        <f t="shared" si="178"/>
        <v>4346840</v>
      </c>
      <c r="X129" s="190">
        <f>SUM(X130:X134)</f>
        <v>4346840</v>
      </c>
      <c r="Y129" s="190">
        <f>SUM(Y130:Y134)</f>
        <v>0</v>
      </c>
      <c r="Z129" s="190">
        <f t="shared" si="158"/>
        <v>4346840</v>
      </c>
      <c r="AA129" s="190">
        <f>SUM(AA130:AA134)</f>
        <v>4346840</v>
      </c>
      <c r="AB129" s="190">
        <f>SUM(AB130:AB134)</f>
        <v>0</v>
      </c>
      <c r="AC129" s="190">
        <f t="shared" si="160"/>
        <v>4346840</v>
      </c>
      <c r="AD129" s="190">
        <f t="shared" si="161"/>
        <v>41554055.200000003</v>
      </c>
      <c r="AE129" s="190">
        <f t="shared" si="162"/>
        <v>0</v>
      </c>
      <c r="AF129" s="190">
        <f t="shared" si="179"/>
        <v>41554055.200000003</v>
      </c>
      <c r="AG129" s="190">
        <f>SUM(AG130:AG134)</f>
        <v>20906565.199999999</v>
      </c>
      <c r="AH129" s="190">
        <f>SUM(AH130:AH134)</f>
        <v>0</v>
      </c>
      <c r="AI129" s="190">
        <f t="shared" si="180"/>
        <v>20906565.199999999</v>
      </c>
      <c r="AJ129" s="190">
        <f>SUM(AJ130:AJ134)</f>
        <v>0</v>
      </c>
      <c r="AK129" s="190">
        <f>SUM(AK130:AK134)</f>
        <v>0</v>
      </c>
      <c r="AL129" s="205"/>
      <c r="AM129" s="205">
        <f t="shared" si="163"/>
        <v>0</v>
      </c>
      <c r="AN129" s="190">
        <f>SUM(AN130:AN134)</f>
        <v>20647490</v>
      </c>
      <c r="AO129" s="190">
        <f>SUM(AO130:AO134)</f>
        <v>0</v>
      </c>
      <c r="AP129" s="205">
        <f t="shared" si="181"/>
        <v>20647490</v>
      </c>
      <c r="AQ129" s="211">
        <f t="shared" si="164"/>
        <v>0</v>
      </c>
      <c r="AR129" s="41"/>
    </row>
    <row r="130" spans="1:44" s="46" customFormat="1" ht="85.5" customHeight="1">
      <c r="B130" s="35" t="s">
        <v>443</v>
      </c>
      <c r="C130" s="408" t="s">
        <v>451</v>
      </c>
      <c r="D130" s="73"/>
      <c r="E130" s="323" t="s">
        <v>448</v>
      </c>
      <c r="F130" s="39"/>
      <c r="G130" s="70">
        <v>2024</v>
      </c>
      <c r="H130" s="70">
        <v>2026</v>
      </c>
      <c r="I130" s="7">
        <v>0</v>
      </c>
      <c r="J130" s="7">
        <v>0</v>
      </c>
      <c r="K130" s="257">
        <f t="shared" si="174"/>
        <v>0</v>
      </c>
      <c r="L130" s="7">
        <v>3519205.2</v>
      </c>
      <c r="M130" s="7">
        <v>0</v>
      </c>
      <c r="N130" s="257">
        <f t="shared" si="175"/>
        <v>3519205.2</v>
      </c>
      <c r="O130" s="8">
        <v>0</v>
      </c>
      <c r="P130" s="64">
        <v>0</v>
      </c>
      <c r="Q130" s="257">
        <f t="shared" si="176"/>
        <v>0</v>
      </c>
      <c r="R130" s="8">
        <v>0</v>
      </c>
      <c r="S130" s="64">
        <v>0</v>
      </c>
      <c r="T130" s="257">
        <f t="shared" si="177"/>
        <v>0</v>
      </c>
      <c r="U130" s="8">
        <v>0</v>
      </c>
      <c r="V130" s="64">
        <v>0</v>
      </c>
      <c r="W130" s="257">
        <f t="shared" si="178"/>
        <v>0</v>
      </c>
      <c r="X130" s="64">
        <v>0</v>
      </c>
      <c r="Y130" s="64">
        <v>0</v>
      </c>
      <c r="Z130" s="257">
        <f t="shared" si="158"/>
        <v>0</v>
      </c>
      <c r="AA130" s="64">
        <v>0</v>
      </c>
      <c r="AB130" s="64">
        <v>0</v>
      </c>
      <c r="AC130" s="257">
        <f t="shared" si="160"/>
        <v>0</v>
      </c>
      <c r="AD130" s="8">
        <f t="shared" si="161"/>
        <v>3519205.2</v>
      </c>
      <c r="AE130" s="8">
        <f t="shared" si="162"/>
        <v>0</v>
      </c>
      <c r="AF130" s="257">
        <f t="shared" si="179"/>
        <v>3519205.2</v>
      </c>
      <c r="AG130" s="8">
        <v>3519205.2</v>
      </c>
      <c r="AH130" s="64">
        <v>0</v>
      </c>
      <c r="AI130" s="257">
        <f t="shared" si="180"/>
        <v>3519205.2</v>
      </c>
      <c r="AJ130" s="8">
        <v>0</v>
      </c>
      <c r="AK130" s="64">
        <v>0</v>
      </c>
      <c r="AL130" s="84"/>
      <c r="AM130" s="266">
        <f t="shared" si="163"/>
        <v>0</v>
      </c>
      <c r="AN130" s="8">
        <v>0</v>
      </c>
      <c r="AO130" s="64">
        <v>0</v>
      </c>
      <c r="AP130" s="266">
        <f t="shared" si="181"/>
        <v>0</v>
      </c>
      <c r="AQ130" s="170">
        <f t="shared" si="164"/>
        <v>0</v>
      </c>
      <c r="AR130" s="41"/>
    </row>
    <row r="131" spans="1:44" s="46" customFormat="1" ht="85.5" customHeight="1">
      <c r="B131" s="35" t="s">
        <v>444</v>
      </c>
      <c r="C131" s="422" t="s">
        <v>455</v>
      </c>
      <c r="D131" s="73"/>
      <c r="E131" s="39" t="s">
        <v>372</v>
      </c>
      <c r="F131" s="39"/>
      <c r="G131" s="70">
        <v>2026</v>
      </c>
      <c r="H131" s="70">
        <v>2030</v>
      </c>
      <c r="I131" s="7">
        <v>0</v>
      </c>
      <c r="J131" s="7">
        <v>0</v>
      </c>
      <c r="K131" s="257">
        <f t="shared" si="174"/>
        <v>0</v>
      </c>
      <c r="L131" s="7">
        <v>0</v>
      </c>
      <c r="M131" s="7">
        <v>0</v>
      </c>
      <c r="N131" s="257">
        <f t="shared" si="175"/>
        <v>0</v>
      </c>
      <c r="O131" s="8">
        <v>1086710</v>
      </c>
      <c r="P131" s="64">
        <v>0</v>
      </c>
      <c r="Q131" s="257">
        <f t="shared" si="176"/>
        <v>1086710</v>
      </c>
      <c r="R131" s="8">
        <v>1086710</v>
      </c>
      <c r="S131" s="64">
        <v>0</v>
      </c>
      <c r="T131" s="257">
        <f t="shared" si="177"/>
        <v>1086710</v>
      </c>
      <c r="U131" s="8">
        <v>1086710</v>
      </c>
      <c r="V131" s="64">
        <v>0</v>
      </c>
      <c r="W131" s="257">
        <f t="shared" si="178"/>
        <v>1086710</v>
      </c>
      <c r="X131" s="64">
        <v>1086710</v>
      </c>
      <c r="Y131" s="64">
        <v>0</v>
      </c>
      <c r="Z131" s="257">
        <f t="shared" si="158"/>
        <v>1086710</v>
      </c>
      <c r="AA131" s="64">
        <v>1086710</v>
      </c>
      <c r="AB131" s="64">
        <v>0</v>
      </c>
      <c r="AC131" s="257">
        <f t="shared" si="160"/>
        <v>1086710</v>
      </c>
      <c r="AD131" s="8">
        <f t="shared" si="161"/>
        <v>5433550</v>
      </c>
      <c r="AE131" s="8">
        <f t="shared" si="162"/>
        <v>0</v>
      </c>
      <c r="AF131" s="257">
        <f t="shared" si="179"/>
        <v>5433550</v>
      </c>
      <c r="AG131" s="8">
        <f>1086710*1</f>
        <v>1086710</v>
      </c>
      <c r="AH131" s="64">
        <v>0</v>
      </c>
      <c r="AI131" s="257">
        <f t="shared" si="180"/>
        <v>1086710</v>
      </c>
      <c r="AJ131" s="8">
        <v>0</v>
      </c>
      <c r="AK131" s="64">
        <v>0</v>
      </c>
      <c r="AL131" s="84"/>
      <c r="AM131" s="266">
        <f t="shared" si="163"/>
        <v>0</v>
      </c>
      <c r="AN131" s="8">
        <f>1086710*4</f>
        <v>4346840</v>
      </c>
      <c r="AO131" s="64">
        <v>0</v>
      </c>
      <c r="AP131" s="266">
        <f t="shared" si="181"/>
        <v>4346840</v>
      </c>
      <c r="AQ131" s="170">
        <f t="shared" si="164"/>
        <v>0</v>
      </c>
      <c r="AR131" s="41"/>
    </row>
    <row r="132" spans="1:44" s="46" customFormat="1" ht="85.5" customHeight="1">
      <c r="B132" s="35" t="s">
        <v>445</v>
      </c>
      <c r="C132" s="409" t="s">
        <v>452</v>
      </c>
      <c r="D132" s="73"/>
      <c r="E132" s="39" t="s">
        <v>372</v>
      </c>
      <c r="F132" s="39"/>
      <c r="G132" s="70" t="s">
        <v>1594</v>
      </c>
      <c r="H132" s="70" t="s">
        <v>1594</v>
      </c>
      <c r="I132" s="7">
        <v>0</v>
      </c>
      <c r="J132" s="7">
        <v>0</v>
      </c>
      <c r="K132" s="257">
        <f t="shared" si="174"/>
        <v>0</v>
      </c>
      <c r="L132" s="7">
        <v>3260130</v>
      </c>
      <c r="M132" s="7">
        <v>0</v>
      </c>
      <c r="N132" s="257">
        <f t="shared" si="175"/>
        <v>3260130</v>
      </c>
      <c r="O132" s="8">
        <v>3260130</v>
      </c>
      <c r="P132" s="64">
        <v>0</v>
      </c>
      <c r="Q132" s="257">
        <f t="shared" si="176"/>
        <v>3260130</v>
      </c>
      <c r="R132" s="8">
        <v>3260130</v>
      </c>
      <c r="S132" s="64">
        <v>0</v>
      </c>
      <c r="T132" s="257">
        <f t="shared" si="177"/>
        <v>3260130</v>
      </c>
      <c r="U132" s="8">
        <v>0</v>
      </c>
      <c r="V132" s="64">
        <v>0</v>
      </c>
      <c r="W132" s="257">
        <f t="shared" si="178"/>
        <v>0</v>
      </c>
      <c r="X132" s="64">
        <v>0</v>
      </c>
      <c r="Y132" s="64">
        <v>0</v>
      </c>
      <c r="Z132" s="257">
        <f t="shared" si="158"/>
        <v>0</v>
      </c>
      <c r="AA132" s="64">
        <v>0</v>
      </c>
      <c r="AB132" s="64">
        <v>0</v>
      </c>
      <c r="AC132" s="257">
        <f t="shared" si="160"/>
        <v>0</v>
      </c>
      <c r="AD132" s="8">
        <f t="shared" si="161"/>
        <v>9780390</v>
      </c>
      <c r="AE132" s="8">
        <f t="shared" si="162"/>
        <v>0</v>
      </c>
      <c r="AF132" s="257">
        <f t="shared" si="179"/>
        <v>9780390</v>
      </c>
      <c r="AG132" s="8">
        <f>3260130*2</f>
        <v>6520260</v>
      </c>
      <c r="AH132" s="64">
        <v>0</v>
      </c>
      <c r="AI132" s="257">
        <f t="shared" si="180"/>
        <v>6520260</v>
      </c>
      <c r="AJ132" s="8">
        <v>0</v>
      </c>
      <c r="AK132" s="64">
        <v>0</v>
      </c>
      <c r="AL132" s="84"/>
      <c r="AM132" s="266">
        <f t="shared" si="163"/>
        <v>0</v>
      </c>
      <c r="AN132" s="8">
        <v>3260130</v>
      </c>
      <c r="AO132" s="64"/>
      <c r="AP132" s="266">
        <f t="shared" si="181"/>
        <v>3260130</v>
      </c>
      <c r="AQ132" s="170">
        <f t="shared" si="164"/>
        <v>0</v>
      </c>
      <c r="AR132" s="41"/>
    </row>
    <row r="133" spans="1:44" s="46" customFormat="1" ht="65.45" customHeight="1">
      <c r="B133" s="35" t="s">
        <v>446</v>
      </c>
      <c r="C133" s="410" t="s">
        <v>1642</v>
      </c>
      <c r="D133" s="73"/>
      <c r="E133" s="167" t="s">
        <v>449</v>
      </c>
      <c r="F133" s="39"/>
      <c r="G133" s="70">
        <v>2024</v>
      </c>
      <c r="H133" s="70">
        <v>2030</v>
      </c>
      <c r="I133" s="7">
        <v>1086710</v>
      </c>
      <c r="J133" s="7">
        <v>0</v>
      </c>
      <c r="K133" s="257">
        <f t="shared" si="174"/>
        <v>1086710</v>
      </c>
      <c r="L133" s="7">
        <v>1086710</v>
      </c>
      <c r="M133" s="7">
        <v>0</v>
      </c>
      <c r="N133" s="257"/>
      <c r="O133" s="7">
        <v>1086710</v>
      </c>
      <c r="P133" s="7">
        <v>0</v>
      </c>
      <c r="Q133" s="257"/>
      <c r="R133" s="7">
        <v>1086710</v>
      </c>
      <c r="S133" s="7">
        <v>0</v>
      </c>
      <c r="T133" s="257"/>
      <c r="U133" s="7">
        <v>1086710</v>
      </c>
      <c r="V133" s="7">
        <v>0</v>
      </c>
      <c r="W133" s="257"/>
      <c r="X133" s="7">
        <v>1086710</v>
      </c>
      <c r="Y133" s="7">
        <v>0</v>
      </c>
      <c r="Z133" s="257"/>
      <c r="AA133" s="7">
        <v>1086710</v>
      </c>
      <c r="AB133" s="7">
        <v>0</v>
      </c>
      <c r="AC133" s="257"/>
      <c r="AD133" s="8">
        <f t="shared" si="161"/>
        <v>7606970</v>
      </c>
      <c r="AE133" s="8">
        <f t="shared" si="162"/>
        <v>0</v>
      </c>
      <c r="AF133" s="257">
        <f t="shared" si="179"/>
        <v>7606970</v>
      </c>
      <c r="AG133" s="8">
        <f>1086710*3</f>
        <v>3260130</v>
      </c>
      <c r="AH133" s="64">
        <v>0</v>
      </c>
      <c r="AI133" s="257">
        <f t="shared" si="180"/>
        <v>3260130</v>
      </c>
      <c r="AJ133" s="8">
        <v>0</v>
      </c>
      <c r="AK133" s="64">
        <v>0</v>
      </c>
      <c r="AL133" s="84"/>
      <c r="AM133" s="266">
        <f t="shared" si="163"/>
        <v>0</v>
      </c>
      <c r="AN133" s="8">
        <f>1086710*4</f>
        <v>4346840</v>
      </c>
      <c r="AO133" s="64">
        <v>0</v>
      </c>
      <c r="AP133" s="266">
        <f t="shared" si="181"/>
        <v>4346840</v>
      </c>
      <c r="AQ133" s="170">
        <f t="shared" si="164"/>
        <v>0</v>
      </c>
      <c r="AR133" s="41"/>
    </row>
    <row r="134" spans="1:44" s="46" customFormat="1" ht="57.6" customHeight="1">
      <c r="B134" s="88" t="s">
        <v>447</v>
      </c>
      <c r="C134" s="411" t="s">
        <v>453</v>
      </c>
      <c r="D134" s="412"/>
      <c r="E134" s="167" t="s">
        <v>371</v>
      </c>
      <c r="F134" s="167"/>
      <c r="G134" s="70">
        <v>2024</v>
      </c>
      <c r="H134" s="70">
        <v>2030</v>
      </c>
      <c r="I134" s="7">
        <v>2173420</v>
      </c>
      <c r="J134" s="7">
        <v>0</v>
      </c>
      <c r="K134" s="257">
        <f t="shared" si="174"/>
        <v>2173420</v>
      </c>
      <c r="L134" s="7">
        <v>2173420</v>
      </c>
      <c r="M134" s="7">
        <v>0</v>
      </c>
      <c r="N134" s="257">
        <f t="shared" si="175"/>
        <v>2173420</v>
      </c>
      <c r="O134" s="7">
        <v>2173420</v>
      </c>
      <c r="P134" s="7">
        <v>0</v>
      </c>
      <c r="Q134" s="257">
        <f t="shared" si="176"/>
        <v>2173420</v>
      </c>
      <c r="R134" s="7">
        <v>2173420</v>
      </c>
      <c r="S134" s="7">
        <v>0</v>
      </c>
      <c r="T134" s="257">
        <f t="shared" si="177"/>
        <v>2173420</v>
      </c>
      <c r="U134" s="7">
        <v>2173420</v>
      </c>
      <c r="V134" s="7">
        <v>0</v>
      </c>
      <c r="W134" s="257">
        <f t="shared" si="178"/>
        <v>2173420</v>
      </c>
      <c r="X134" s="7">
        <v>2173420</v>
      </c>
      <c r="Y134" s="7">
        <v>0</v>
      </c>
      <c r="Z134" s="257">
        <f t="shared" si="158"/>
        <v>2173420</v>
      </c>
      <c r="AA134" s="7">
        <v>2173420</v>
      </c>
      <c r="AB134" s="7">
        <v>0</v>
      </c>
      <c r="AC134" s="257">
        <f t="shared" si="160"/>
        <v>2173420</v>
      </c>
      <c r="AD134" s="8">
        <f t="shared" si="161"/>
        <v>15213940</v>
      </c>
      <c r="AE134" s="8">
        <f t="shared" si="162"/>
        <v>0</v>
      </c>
      <c r="AF134" s="257">
        <f t="shared" si="179"/>
        <v>15213940</v>
      </c>
      <c r="AG134" s="8">
        <f>2173420*3</f>
        <v>6520260</v>
      </c>
      <c r="AH134" s="64">
        <v>0</v>
      </c>
      <c r="AI134" s="257">
        <f t="shared" si="180"/>
        <v>6520260</v>
      </c>
      <c r="AJ134" s="8">
        <v>0</v>
      </c>
      <c r="AK134" s="64">
        <v>0</v>
      </c>
      <c r="AL134" s="84"/>
      <c r="AM134" s="266">
        <f t="shared" si="163"/>
        <v>0</v>
      </c>
      <c r="AN134" s="8">
        <f>2173420*4</f>
        <v>8693680</v>
      </c>
      <c r="AO134" s="64">
        <v>0</v>
      </c>
      <c r="AP134" s="266">
        <f t="shared" si="181"/>
        <v>8693680</v>
      </c>
      <c r="AQ134" s="170">
        <f t="shared" si="164"/>
        <v>0</v>
      </c>
      <c r="AR134" s="41"/>
    </row>
    <row r="135" spans="1:44" s="4" customFormat="1" ht="29.25" customHeight="1">
      <c r="B135" s="414"/>
      <c r="C135" s="415" t="s">
        <v>73</v>
      </c>
      <c r="D135" s="416"/>
      <c r="E135" s="414"/>
      <c r="F135" s="414"/>
      <c r="G135" s="413"/>
      <c r="H135" s="413"/>
      <c r="I135" s="417">
        <f t="shared" ref="I135:AK135" si="196">SUM(I116,I121,I126,I129)</f>
        <v>10006970</v>
      </c>
      <c r="J135" s="417">
        <f t="shared" si="196"/>
        <v>0</v>
      </c>
      <c r="K135" s="417">
        <f t="shared" si="196"/>
        <v>10006970</v>
      </c>
      <c r="L135" s="417">
        <f t="shared" si="196"/>
        <v>16559725.199999999</v>
      </c>
      <c r="M135" s="417">
        <f t="shared" si="196"/>
        <v>0</v>
      </c>
      <c r="N135" s="417">
        <f t="shared" si="196"/>
        <v>16559725.199999999</v>
      </c>
      <c r="O135" s="417">
        <f t="shared" si="196"/>
        <v>10867100</v>
      </c>
      <c r="P135" s="417">
        <f t="shared" si="196"/>
        <v>0</v>
      </c>
      <c r="Q135" s="417">
        <f t="shared" si="196"/>
        <v>10867100</v>
      </c>
      <c r="R135" s="417">
        <f t="shared" si="196"/>
        <v>7606970</v>
      </c>
      <c r="S135" s="417">
        <f t="shared" si="196"/>
        <v>0</v>
      </c>
      <c r="T135" s="417">
        <f t="shared" si="196"/>
        <v>7606970</v>
      </c>
      <c r="U135" s="417">
        <f t="shared" si="196"/>
        <v>4346840</v>
      </c>
      <c r="V135" s="417">
        <f t="shared" si="196"/>
        <v>0</v>
      </c>
      <c r="W135" s="417">
        <f t="shared" si="196"/>
        <v>4346840</v>
      </c>
      <c r="X135" s="417">
        <f t="shared" si="196"/>
        <v>4346840</v>
      </c>
      <c r="Y135" s="417">
        <f t="shared" si="196"/>
        <v>0</v>
      </c>
      <c r="Z135" s="417">
        <f t="shared" si="196"/>
        <v>4346840</v>
      </c>
      <c r="AA135" s="417">
        <f t="shared" si="196"/>
        <v>4346840</v>
      </c>
      <c r="AB135" s="417">
        <f t="shared" si="196"/>
        <v>0</v>
      </c>
      <c r="AC135" s="417">
        <f t="shared" si="196"/>
        <v>4346840</v>
      </c>
      <c r="AD135" s="417">
        <f t="shared" si="196"/>
        <v>58081285.200000003</v>
      </c>
      <c r="AE135" s="417">
        <f t="shared" si="196"/>
        <v>0</v>
      </c>
      <c r="AF135" s="417">
        <f t="shared" si="196"/>
        <v>58081285.200000003</v>
      </c>
      <c r="AG135" s="417">
        <f t="shared" si="196"/>
        <v>35033795.200000003</v>
      </c>
      <c r="AH135" s="417">
        <f t="shared" si="196"/>
        <v>0</v>
      </c>
      <c r="AI135" s="417">
        <f t="shared" si="196"/>
        <v>35033795.200000003</v>
      </c>
      <c r="AJ135" s="417">
        <f t="shared" si="196"/>
        <v>0</v>
      </c>
      <c r="AK135" s="417">
        <f t="shared" si="196"/>
        <v>0</v>
      </c>
      <c r="AL135" s="417"/>
      <c r="AM135" s="417">
        <f>SUM(AM116,AM121,AM126,AM129)</f>
        <v>0</v>
      </c>
      <c r="AN135" s="417">
        <f>SUM(AN116,AN121,AN126,AN129)</f>
        <v>20647490</v>
      </c>
      <c r="AO135" s="417">
        <f>SUM(AO116,AO121,AO126,AO129)</f>
        <v>0</v>
      </c>
      <c r="AP135" s="417">
        <f>SUM(AP116,AP121,AP126,AP129)</f>
        <v>20647490</v>
      </c>
      <c r="AQ135" s="418">
        <f t="shared" si="164"/>
        <v>-2400000</v>
      </c>
      <c r="AR135" s="48"/>
    </row>
    <row r="136" spans="1:44" s="4" customFormat="1" ht="73.150000000000006" customHeight="1">
      <c r="A136" s="419"/>
      <c r="B136" s="35">
        <v>1.3</v>
      </c>
      <c r="C136" s="423" t="s">
        <v>454</v>
      </c>
      <c r="D136" s="92"/>
      <c r="E136" s="35"/>
      <c r="F136" s="35"/>
      <c r="G136" s="35"/>
      <c r="H136" s="35"/>
      <c r="I136" s="420"/>
      <c r="J136" s="420"/>
      <c r="K136" s="420"/>
      <c r="L136" s="420"/>
      <c r="M136" s="420"/>
      <c r="N136" s="420"/>
      <c r="O136" s="420"/>
      <c r="P136" s="420"/>
      <c r="Q136" s="420"/>
      <c r="R136" s="420"/>
      <c r="S136" s="420"/>
      <c r="T136" s="420"/>
      <c r="U136" s="420"/>
      <c r="V136" s="420"/>
      <c r="W136" s="420"/>
      <c r="X136" s="420"/>
      <c r="Y136" s="420"/>
      <c r="Z136" s="420"/>
      <c r="AA136" s="420"/>
      <c r="AB136" s="420"/>
      <c r="AC136" s="420"/>
      <c r="AD136" s="420"/>
      <c r="AE136" s="420"/>
      <c r="AF136" s="420"/>
      <c r="AG136" s="420"/>
      <c r="AH136" s="420"/>
      <c r="AI136" s="420"/>
      <c r="AJ136" s="420"/>
      <c r="AK136" s="420"/>
      <c r="AL136" s="420"/>
      <c r="AM136" s="420"/>
      <c r="AN136" s="420"/>
      <c r="AO136" s="420"/>
      <c r="AP136" s="420"/>
      <c r="AQ136" s="421"/>
      <c r="AR136" s="48"/>
    </row>
    <row r="137" spans="1:44" s="4" customFormat="1" ht="29.25" customHeight="1">
      <c r="A137" s="419"/>
      <c r="B137" s="35"/>
      <c r="C137" s="424" t="s">
        <v>68</v>
      </c>
      <c r="D137" s="92"/>
      <c r="E137" s="35"/>
      <c r="F137" s="35"/>
      <c r="G137" s="35"/>
      <c r="H137" s="35"/>
      <c r="I137" s="420"/>
      <c r="J137" s="420"/>
      <c r="K137" s="420"/>
      <c r="L137" s="420"/>
      <c r="M137" s="420"/>
      <c r="N137" s="420"/>
      <c r="O137" s="420"/>
      <c r="P137" s="420"/>
      <c r="Q137" s="420"/>
      <c r="R137" s="420"/>
      <c r="S137" s="420"/>
      <c r="T137" s="420"/>
      <c r="U137" s="420"/>
      <c r="V137" s="420"/>
      <c r="W137" s="420"/>
      <c r="X137" s="420"/>
      <c r="Y137" s="420"/>
      <c r="Z137" s="420"/>
      <c r="AA137" s="420"/>
      <c r="AB137" s="420"/>
      <c r="AC137" s="420"/>
      <c r="AD137" s="420"/>
      <c r="AE137" s="420"/>
      <c r="AF137" s="420"/>
      <c r="AG137" s="420"/>
      <c r="AH137" s="420"/>
      <c r="AI137" s="420"/>
      <c r="AJ137" s="420"/>
      <c r="AK137" s="420"/>
      <c r="AL137" s="420"/>
      <c r="AM137" s="420"/>
      <c r="AN137" s="420"/>
      <c r="AO137" s="420"/>
      <c r="AP137" s="420"/>
      <c r="AQ137" s="421"/>
      <c r="AR137" s="48"/>
    </row>
    <row r="138" spans="1:44" s="4" customFormat="1" ht="69.599999999999994" customHeight="1">
      <c r="A138" s="419"/>
      <c r="B138" s="210" t="s">
        <v>456</v>
      </c>
      <c r="C138" s="287" t="s">
        <v>461</v>
      </c>
      <c r="D138" s="217"/>
      <c r="E138" s="210" t="s">
        <v>466</v>
      </c>
      <c r="F138" s="210"/>
      <c r="G138" s="210">
        <v>2025</v>
      </c>
      <c r="H138" s="210">
        <v>2030</v>
      </c>
      <c r="I138" s="427">
        <f>SUM(I139:I142)</f>
        <v>5433550</v>
      </c>
      <c r="J138" s="427">
        <f>SUM(J139:J142)</f>
        <v>0</v>
      </c>
      <c r="K138" s="427">
        <f t="shared" ref="K138:K142" si="197">SUM(I138:J138)</f>
        <v>5433550</v>
      </c>
      <c r="L138" s="427">
        <f t="shared" ref="L138:M138" si="198">SUM(L139:L142)</f>
        <v>3260130</v>
      </c>
      <c r="M138" s="427">
        <f t="shared" si="198"/>
        <v>0</v>
      </c>
      <c r="N138" s="427">
        <f t="shared" ref="N138:N162" si="199">SUM(L138:M138)</f>
        <v>3260130</v>
      </c>
      <c r="O138" s="427">
        <f t="shared" ref="O138:P138" si="200">SUM(O139:O142)</f>
        <v>0</v>
      </c>
      <c r="P138" s="427">
        <f t="shared" si="200"/>
        <v>0</v>
      </c>
      <c r="Q138" s="427">
        <f t="shared" ref="Q138:Q162" si="201">SUM(O138:P138)</f>
        <v>0</v>
      </c>
      <c r="R138" s="427">
        <f t="shared" ref="R138:S138" si="202">SUM(R139:R142)</f>
        <v>0</v>
      </c>
      <c r="S138" s="427">
        <f t="shared" si="202"/>
        <v>0</v>
      </c>
      <c r="T138" s="427">
        <f t="shared" ref="T138:T162" si="203">SUM(R138:S138)</f>
        <v>0</v>
      </c>
      <c r="U138" s="427">
        <f t="shared" ref="U138:V138" si="204">SUM(U139:U142)</f>
        <v>0</v>
      </c>
      <c r="V138" s="427">
        <f t="shared" si="204"/>
        <v>0</v>
      </c>
      <c r="W138" s="427">
        <f t="shared" ref="W138:W162" si="205">SUM(U138:V138)</f>
        <v>0</v>
      </c>
      <c r="X138" s="427">
        <f t="shared" ref="X138:Y138" si="206">SUM(X139:X142)</f>
        <v>0</v>
      </c>
      <c r="Y138" s="427">
        <f t="shared" si="206"/>
        <v>0</v>
      </c>
      <c r="Z138" s="427">
        <f t="shared" ref="Z138:Z162" si="207">X138+Y138</f>
        <v>0</v>
      </c>
      <c r="AA138" s="427">
        <f t="shared" ref="AA138:AB138" si="208">SUM(AA139:AA142)</f>
        <v>0</v>
      </c>
      <c r="AB138" s="427">
        <f t="shared" si="208"/>
        <v>0</v>
      </c>
      <c r="AC138" s="427">
        <f t="shared" ref="AC138:AC162" si="209">AA138+AB138</f>
        <v>0</v>
      </c>
      <c r="AD138" s="427">
        <f t="shared" ref="AD138:AD142" si="210">I138+L138+O138+R138+U138+X138+AA138</f>
        <v>8693680</v>
      </c>
      <c r="AE138" s="427">
        <f t="shared" ref="AE138:AE142" si="211">J138+M138+P138+S138+V138+Y138+AB138</f>
        <v>0</v>
      </c>
      <c r="AF138" s="427">
        <f t="shared" ref="AF138:AF162" si="212">SUM(AD138:AE138)</f>
        <v>8693680</v>
      </c>
      <c r="AG138" s="427">
        <f t="shared" ref="AG138:AH138" si="213">SUM(AG139:AG142)</f>
        <v>8693680</v>
      </c>
      <c r="AH138" s="427">
        <f t="shared" si="213"/>
        <v>0</v>
      </c>
      <c r="AI138" s="427">
        <f t="shared" ref="AI138:AI162" si="214">SUM(AG138:AH138)</f>
        <v>8693680</v>
      </c>
      <c r="AJ138" s="427">
        <f t="shared" ref="AJ138:AK138" si="215">SUM(AJ139:AJ142)</f>
        <v>0</v>
      </c>
      <c r="AK138" s="427">
        <f t="shared" si="215"/>
        <v>0</v>
      </c>
      <c r="AL138" s="427"/>
      <c r="AM138" s="427">
        <f t="shared" ref="AM138:AM162" si="216">AJ138+AK138</f>
        <v>0</v>
      </c>
      <c r="AN138" s="427">
        <f t="shared" ref="AN138:AO138" si="217">SUM(AN139:AN142)</f>
        <v>0</v>
      </c>
      <c r="AO138" s="427">
        <f t="shared" si="217"/>
        <v>0</v>
      </c>
      <c r="AP138" s="427">
        <f t="shared" ref="AP138:AP162" si="218">SUM(AN138:AO138)</f>
        <v>0</v>
      </c>
      <c r="AQ138" s="428">
        <f t="shared" ref="AQ138:AQ178" si="219">SUM(AP138+AM138+AI138)-AF138</f>
        <v>0</v>
      </c>
      <c r="AR138" s="48"/>
    </row>
    <row r="139" spans="1:44" s="4" customFormat="1" ht="29.25" customHeight="1">
      <c r="A139" s="419"/>
      <c r="B139" s="35" t="s">
        <v>457</v>
      </c>
      <c r="C139" s="327" t="s">
        <v>462</v>
      </c>
      <c r="D139" s="92"/>
      <c r="E139" s="39" t="s">
        <v>466</v>
      </c>
      <c r="F139" s="35"/>
      <c r="G139" s="425">
        <v>2024</v>
      </c>
      <c r="H139" s="425">
        <v>2024</v>
      </c>
      <c r="I139" s="115">
        <v>1086710</v>
      </c>
      <c r="J139" s="115">
        <v>0</v>
      </c>
      <c r="K139" s="293">
        <f t="shared" si="197"/>
        <v>1086710</v>
      </c>
      <c r="L139" s="115">
        <v>0</v>
      </c>
      <c r="M139" s="115">
        <v>0</v>
      </c>
      <c r="N139" s="293">
        <f t="shared" si="199"/>
        <v>0</v>
      </c>
      <c r="O139" s="115">
        <v>0</v>
      </c>
      <c r="P139" s="115">
        <v>0</v>
      </c>
      <c r="Q139" s="293">
        <f t="shared" si="201"/>
        <v>0</v>
      </c>
      <c r="R139" s="115">
        <v>0</v>
      </c>
      <c r="S139" s="115">
        <v>0</v>
      </c>
      <c r="T139" s="293">
        <f t="shared" si="203"/>
        <v>0</v>
      </c>
      <c r="U139" s="115">
        <v>0</v>
      </c>
      <c r="V139" s="115">
        <v>0</v>
      </c>
      <c r="W139" s="293">
        <f t="shared" si="205"/>
        <v>0</v>
      </c>
      <c r="X139" s="115">
        <v>0</v>
      </c>
      <c r="Y139" s="115">
        <v>0</v>
      </c>
      <c r="Z139" s="293">
        <f t="shared" si="207"/>
        <v>0</v>
      </c>
      <c r="AA139" s="115">
        <v>0</v>
      </c>
      <c r="AB139" s="115">
        <v>0</v>
      </c>
      <c r="AC139" s="293">
        <f t="shared" si="209"/>
        <v>0</v>
      </c>
      <c r="AD139" s="115">
        <f t="shared" si="210"/>
        <v>1086710</v>
      </c>
      <c r="AE139" s="115">
        <f t="shared" si="211"/>
        <v>0</v>
      </c>
      <c r="AF139" s="293">
        <f t="shared" si="212"/>
        <v>1086710</v>
      </c>
      <c r="AG139" s="115">
        <v>1086710</v>
      </c>
      <c r="AH139" s="115">
        <v>0</v>
      </c>
      <c r="AI139" s="293">
        <f t="shared" si="214"/>
        <v>1086710</v>
      </c>
      <c r="AJ139" s="115">
        <v>0</v>
      </c>
      <c r="AK139" s="115">
        <v>0</v>
      </c>
      <c r="AL139" s="420"/>
      <c r="AM139" s="293">
        <f t="shared" si="216"/>
        <v>0</v>
      </c>
      <c r="AN139" s="115">
        <v>0</v>
      </c>
      <c r="AO139" s="115">
        <v>0</v>
      </c>
      <c r="AP139" s="293">
        <f t="shared" si="218"/>
        <v>0</v>
      </c>
      <c r="AQ139" s="717">
        <f t="shared" si="219"/>
        <v>0</v>
      </c>
      <c r="AR139" s="48"/>
    </row>
    <row r="140" spans="1:44" s="4" customFormat="1" ht="46.15" customHeight="1">
      <c r="A140" s="419"/>
      <c r="B140" s="35" t="s">
        <v>458</v>
      </c>
      <c r="C140" s="327" t="s">
        <v>463</v>
      </c>
      <c r="D140" s="92"/>
      <c r="E140" s="39" t="s">
        <v>466</v>
      </c>
      <c r="F140" s="35"/>
      <c r="G140" s="425">
        <v>2024</v>
      </c>
      <c r="H140" s="425">
        <v>2024</v>
      </c>
      <c r="I140" s="115">
        <v>2173420</v>
      </c>
      <c r="J140" s="115">
        <v>0</v>
      </c>
      <c r="K140" s="293">
        <f t="shared" si="197"/>
        <v>2173420</v>
      </c>
      <c r="L140" s="115">
        <v>0</v>
      </c>
      <c r="M140" s="115">
        <v>0</v>
      </c>
      <c r="N140" s="293">
        <f t="shared" si="199"/>
        <v>0</v>
      </c>
      <c r="O140" s="115">
        <v>0</v>
      </c>
      <c r="P140" s="115">
        <v>0</v>
      </c>
      <c r="Q140" s="293">
        <f t="shared" si="201"/>
        <v>0</v>
      </c>
      <c r="R140" s="115">
        <v>0</v>
      </c>
      <c r="S140" s="115">
        <v>0</v>
      </c>
      <c r="T140" s="293">
        <f t="shared" si="203"/>
        <v>0</v>
      </c>
      <c r="U140" s="115">
        <v>0</v>
      </c>
      <c r="V140" s="115">
        <v>0</v>
      </c>
      <c r="W140" s="293">
        <f t="shared" si="205"/>
        <v>0</v>
      </c>
      <c r="X140" s="115">
        <v>0</v>
      </c>
      <c r="Y140" s="115">
        <v>0</v>
      </c>
      <c r="Z140" s="293">
        <f t="shared" si="207"/>
        <v>0</v>
      </c>
      <c r="AA140" s="115">
        <v>0</v>
      </c>
      <c r="AB140" s="115">
        <v>0</v>
      </c>
      <c r="AC140" s="293">
        <f t="shared" si="209"/>
        <v>0</v>
      </c>
      <c r="AD140" s="115">
        <f t="shared" si="210"/>
        <v>2173420</v>
      </c>
      <c r="AE140" s="115">
        <f t="shared" si="211"/>
        <v>0</v>
      </c>
      <c r="AF140" s="293">
        <f t="shared" si="212"/>
        <v>2173420</v>
      </c>
      <c r="AG140" s="115">
        <v>2173420</v>
      </c>
      <c r="AH140" s="115">
        <v>0</v>
      </c>
      <c r="AI140" s="293">
        <f t="shared" si="214"/>
        <v>2173420</v>
      </c>
      <c r="AJ140" s="115">
        <v>0</v>
      </c>
      <c r="AK140" s="115">
        <v>0</v>
      </c>
      <c r="AL140" s="420"/>
      <c r="AM140" s="293">
        <f t="shared" si="216"/>
        <v>0</v>
      </c>
      <c r="AN140" s="115">
        <v>0</v>
      </c>
      <c r="AO140" s="115">
        <v>0</v>
      </c>
      <c r="AP140" s="293">
        <f t="shared" si="218"/>
        <v>0</v>
      </c>
      <c r="AQ140" s="717">
        <f t="shared" si="219"/>
        <v>0</v>
      </c>
      <c r="AR140" s="48"/>
    </row>
    <row r="141" spans="1:44" s="4" customFormat="1" ht="29.25" customHeight="1">
      <c r="A141" s="419"/>
      <c r="B141" s="35" t="s">
        <v>459</v>
      </c>
      <c r="C141" s="327" t="s">
        <v>464</v>
      </c>
      <c r="D141" s="92"/>
      <c r="E141" s="39" t="s">
        <v>466</v>
      </c>
      <c r="F141" s="35"/>
      <c r="G141" s="425" t="s">
        <v>467</v>
      </c>
      <c r="H141" s="425" t="s">
        <v>468</v>
      </c>
      <c r="I141" s="115">
        <v>2173420</v>
      </c>
      <c r="J141" s="115">
        <v>0</v>
      </c>
      <c r="K141" s="293">
        <f t="shared" si="197"/>
        <v>2173420</v>
      </c>
      <c r="L141" s="115">
        <v>2173420</v>
      </c>
      <c r="M141" s="115">
        <v>0</v>
      </c>
      <c r="N141" s="293">
        <f t="shared" si="199"/>
        <v>2173420</v>
      </c>
      <c r="O141" s="115">
        <v>0</v>
      </c>
      <c r="P141" s="115">
        <v>0</v>
      </c>
      <c r="Q141" s="293">
        <f t="shared" si="201"/>
        <v>0</v>
      </c>
      <c r="R141" s="115">
        <v>0</v>
      </c>
      <c r="S141" s="115">
        <v>0</v>
      </c>
      <c r="T141" s="293">
        <f t="shared" si="203"/>
        <v>0</v>
      </c>
      <c r="U141" s="115">
        <v>0</v>
      </c>
      <c r="V141" s="115">
        <v>0</v>
      </c>
      <c r="W141" s="293">
        <f t="shared" si="205"/>
        <v>0</v>
      </c>
      <c r="X141" s="115">
        <v>0</v>
      </c>
      <c r="Y141" s="115">
        <v>0</v>
      </c>
      <c r="Z141" s="293">
        <f t="shared" si="207"/>
        <v>0</v>
      </c>
      <c r="AA141" s="115">
        <v>0</v>
      </c>
      <c r="AB141" s="115">
        <v>0</v>
      </c>
      <c r="AC141" s="293">
        <f t="shared" si="209"/>
        <v>0</v>
      </c>
      <c r="AD141" s="115">
        <f t="shared" si="210"/>
        <v>4346840</v>
      </c>
      <c r="AE141" s="115">
        <f t="shared" si="211"/>
        <v>0</v>
      </c>
      <c r="AF141" s="293">
        <f t="shared" si="212"/>
        <v>4346840</v>
      </c>
      <c r="AG141" s="115">
        <v>4346840</v>
      </c>
      <c r="AH141" s="115">
        <v>0</v>
      </c>
      <c r="AI141" s="293">
        <f t="shared" si="214"/>
        <v>4346840</v>
      </c>
      <c r="AJ141" s="115">
        <v>0</v>
      </c>
      <c r="AK141" s="115">
        <v>0</v>
      </c>
      <c r="AL141" s="420"/>
      <c r="AM141" s="293">
        <f t="shared" si="216"/>
        <v>0</v>
      </c>
      <c r="AN141" s="115">
        <v>0</v>
      </c>
      <c r="AO141" s="115">
        <v>0</v>
      </c>
      <c r="AP141" s="293">
        <f t="shared" si="218"/>
        <v>0</v>
      </c>
      <c r="AQ141" s="717">
        <f t="shared" si="219"/>
        <v>0</v>
      </c>
      <c r="AR141" s="48"/>
    </row>
    <row r="142" spans="1:44" s="4" customFormat="1" ht="29.25" customHeight="1">
      <c r="A142" s="419"/>
      <c r="B142" s="35" t="s">
        <v>460</v>
      </c>
      <c r="C142" s="327" t="s">
        <v>465</v>
      </c>
      <c r="D142" s="92"/>
      <c r="E142" s="39" t="s">
        <v>466</v>
      </c>
      <c r="F142" s="35"/>
      <c r="G142" s="425" t="s">
        <v>468</v>
      </c>
      <c r="H142" s="425" t="s">
        <v>468</v>
      </c>
      <c r="I142" s="115">
        <v>0</v>
      </c>
      <c r="J142" s="115">
        <v>0</v>
      </c>
      <c r="K142" s="293">
        <f t="shared" si="197"/>
        <v>0</v>
      </c>
      <c r="L142" s="115">
        <v>1086710</v>
      </c>
      <c r="M142" s="115"/>
      <c r="N142" s="293">
        <f t="shared" si="199"/>
        <v>1086710</v>
      </c>
      <c r="O142" s="115">
        <v>0</v>
      </c>
      <c r="P142" s="115">
        <v>0</v>
      </c>
      <c r="Q142" s="293">
        <f t="shared" si="201"/>
        <v>0</v>
      </c>
      <c r="R142" s="115">
        <v>0</v>
      </c>
      <c r="S142" s="115">
        <v>0</v>
      </c>
      <c r="T142" s="293">
        <f t="shared" si="203"/>
        <v>0</v>
      </c>
      <c r="U142" s="115">
        <v>0</v>
      </c>
      <c r="V142" s="115">
        <v>0</v>
      </c>
      <c r="W142" s="293">
        <f t="shared" si="205"/>
        <v>0</v>
      </c>
      <c r="X142" s="115">
        <v>0</v>
      </c>
      <c r="Y142" s="115">
        <v>0</v>
      </c>
      <c r="Z142" s="293">
        <f t="shared" si="207"/>
        <v>0</v>
      </c>
      <c r="AA142" s="115">
        <v>0</v>
      </c>
      <c r="AB142" s="115">
        <v>0</v>
      </c>
      <c r="AC142" s="293">
        <f t="shared" si="209"/>
        <v>0</v>
      </c>
      <c r="AD142" s="115">
        <f t="shared" si="210"/>
        <v>1086710</v>
      </c>
      <c r="AE142" s="115">
        <f t="shared" si="211"/>
        <v>0</v>
      </c>
      <c r="AF142" s="293">
        <f t="shared" si="212"/>
        <v>1086710</v>
      </c>
      <c r="AG142" s="115">
        <v>1086710</v>
      </c>
      <c r="AH142" s="115">
        <v>0</v>
      </c>
      <c r="AI142" s="293">
        <f t="shared" si="214"/>
        <v>1086710</v>
      </c>
      <c r="AJ142" s="115">
        <v>0</v>
      </c>
      <c r="AK142" s="115">
        <v>0</v>
      </c>
      <c r="AL142" s="420"/>
      <c r="AM142" s="293">
        <f t="shared" si="216"/>
        <v>0</v>
      </c>
      <c r="AN142" s="115">
        <v>0</v>
      </c>
      <c r="AO142" s="115">
        <v>0</v>
      </c>
      <c r="AP142" s="293">
        <f t="shared" si="218"/>
        <v>0</v>
      </c>
      <c r="AQ142" s="717">
        <f t="shared" si="219"/>
        <v>0</v>
      </c>
      <c r="AR142" s="48"/>
    </row>
    <row r="143" spans="1:44" s="4" customFormat="1" ht="50.45" customHeight="1">
      <c r="A143" s="419"/>
      <c r="B143" s="222" t="s">
        <v>469</v>
      </c>
      <c r="C143" s="263" t="s">
        <v>472</v>
      </c>
      <c r="D143" s="263"/>
      <c r="E143" s="222" t="s">
        <v>473</v>
      </c>
      <c r="F143" s="222" t="s">
        <v>474</v>
      </c>
      <c r="G143" s="222">
        <v>2024</v>
      </c>
      <c r="H143" s="222">
        <v>2030</v>
      </c>
      <c r="I143" s="431">
        <f>SUM(I144:I145)</f>
        <v>3260130</v>
      </c>
      <c r="J143" s="431">
        <f>SUM(J144:J145)</f>
        <v>0</v>
      </c>
      <c r="K143" s="431">
        <f t="shared" ref="K143:K162" si="220">SUM(I143:J143)</f>
        <v>3260130</v>
      </c>
      <c r="L143" s="431">
        <f t="shared" ref="L143:M143" si="221">SUM(L144:L145)</f>
        <v>1086710</v>
      </c>
      <c r="M143" s="431">
        <f t="shared" si="221"/>
        <v>0</v>
      </c>
      <c r="N143" s="220">
        <f t="shared" si="199"/>
        <v>1086710</v>
      </c>
      <c r="O143" s="431">
        <f t="shared" ref="O143:P143" si="222">SUM(O144:O145)</f>
        <v>1086710</v>
      </c>
      <c r="P143" s="431">
        <f t="shared" si="222"/>
        <v>0</v>
      </c>
      <c r="Q143" s="220">
        <f t="shared" si="201"/>
        <v>1086710</v>
      </c>
      <c r="R143" s="431">
        <f t="shared" ref="R143:S143" si="223">SUM(R144:R145)</f>
        <v>1086710</v>
      </c>
      <c r="S143" s="431">
        <f t="shared" si="223"/>
        <v>0</v>
      </c>
      <c r="T143" s="220">
        <f t="shared" si="203"/>
        <v>1086710</v>
      </c>
      <c r="U143" s="431">
        <f t="shared" ref="U143:V143" si="224">SUM(U144:U145)</f>
        <v>1086710</v>
      </c>
      <c r="V143" s="431">
        <f t="shared" si="224"/>
        <v>0</v>
      </c>
      <c r="W143" s="220">
        <f t="shared" si="205"/>
        <v>1086710</v>
      </c>
      <c r="X143" s="431">
        <f t="shared" ref="X143:Y143" si="225">SUM(X144:X145)</f>
        <v>1086710</v>
      </c>
      <c r="Y143" s="431">
        <f t="shared" si="225"/>
        <v>0</v>
      </c>
      <c r="Z143" s="220">
        <f t="shared" si="207"/>
        <v>1086710</v>
      </c>
      <c r="AA143" s="431">
        <f t="shared" ref="AA143:AB143" si="226">SUM(AA144:AA145)</f>
        <v>1086710</v>
      </c>
      <c r="AB143" s="431">
        <f t="shared" si="226"/>
        <v>0</v>
      </c>
      <c r="AC143" s="220">
        <f t="shared" si="209"/>
        <v>1086710</v>
      </c>
      <c r="AD143" s="431">
        <f t="shared" ref="AD143:AD145" si="227">I143+L143+O143+R143+U143+X143+AA143</f>
        <v>9780390</v>
      </c>
      <c r="AE143" s="431">
        <f t="shared" ref="AE143:AE145" si="228">J143+M143+P143+S143+V143+Y143+AB143</f>
        <v>0</v>
      </c>
      <c r="AF143" s="220">
        <f t="shared" si="212"/>
        <v>9780390</v>
      </c>
      <c r="AG143" s="431">
        <f t="shared" ref="AG143:AH143" si="229">SUM(AG144:AG145)</f>
        <v>5433550</v>
      </c>
      <c r="AH143" s="431">
        <f t="shared" si="229"/>
        <v>0</v>
      </c>
      <c r="AI143" s="220">
        <f t="shared" si="214"/>
        <v>5433550</v>
      </c>
      <c r="AJ143" s="431">
        <f t="shared" ref="AJ143:AK143" si="230">SUM(AJ144:AJ145)</f>
        <v>0</v>
      </c>
      <c r="AK143" s="431">
        <f t="shared" si="230"/>
        <v>0</v>
      </c>
      <c r="AL143" s="431"/>
      <c r="AM143" s="220">
        <f t="shared" si="216"/>
        <v>0</v>
      </c>
      <c r="AN143" s="431">
        <f t="shared" ref="AN143:AO143" si="231">SUM(AN144:AN145)</f>
        <v>4346840</v>
      </c>
      <c r="AO143" s="431">
        <f t="shared" si="231"/>
        <v>0</v>
      </c>
      <c r="AP143" s="220">
        <f t="shared" si="218"/>
        <v>4346840</v>
      </c>
      <c r="AQ143" s="432">
        <f t="shared" ref="AQ143" si="232">SUM(AP143+AM143+AI143)-AF143</f>
        <v>0</v>
      </c>
      <c r="AR143" s="48"/>
    </row>
    <row r="144" spans="1:44" s="4" customFormat="1" ht="54" customHeight="1">
      <c r="A144" s="419"/>
      <c r="B144" s="35" t="s">
        <v>470</v>
      </c>
      <c r="C144" s="436" t="s">
        <v>475</v>
      </c>
      <c r="D144" s="430"/>
      <c r="E144" s="435" t="s">
        <v>473</v>
      </c>
      <c r="F144" s="387" t="s">
        <v>474</v>
      </c>
      <c r="G144" s="71">
        <v>2024</v>
      </c>
      <c r="H144" s="71">
        <v>2024</v>
      </c>
      <c r="I144" s="115">
        <v>2173420</v>
      </c>
      <c r="J144" s="115">
        <v>0</v>
      </c>
      <c r="K144" s="293">
        <f t="shared" si="220"/>
        <v>2173420</v>
      </c>
      <c r="L144" s="115">
        <v>0</v>
      </c>
      <c r="M144" s="115">
        <v>0</v>
      </c>
      <c r="N144" s="293">
        <f t="shared" si="199"/>
        <v>0</v>
      </c>
      <c r="O144" s="115">
        <v>0</v>
      </c>
      <c r="P144" s="115">
        <v>0</v>
      </c>
      <c r="Q144" s="293">
        <f t="shared" si="201"/>
        <v>0</v>
      </c>
      <c r="R144" s="115">
        <v>0</v>
      </c>
      <c r="S144" s="115">
        <v>0</v>
      </c>
      <c r="T144" s="293">
        <f t="shared" si="203"/>
        <v>0</v>
      </c>
      <c r="U144" s="115">
        <v>0</v>
      </c>
      <c r="V144" s="115">
        <v>0</v>
      </c>
      <c r="W144" s="293">
        <f t="shared" si="205"/>
        <v>0</v>
      </c>
      <c r="X144" s="115">
        <v>0</v>
      </c>
      <c r="Y144" s="115">
        <v>0</v>
      </c>
      <c r="Z144" s="293">
        <f t="shared" si="207"/>
        <v>0</v>
      </c>
      <c r="AA144" s="115">
        <v>0</v>
      </c>
      <c r="AB144" s="115">
        <v>0</v>
      </c>
      <c r="AC144" s="293">
        <f t="shared" si="209"/>
        <v>0</v>
      </c>
      <c r="AD144" s="115">
        <f t="shared" si="227"/>
        <v>2173420</v>
      </c>
      <c r="AE144" s="115">
        <f t="shared" si="228"/>
        <v>0</v>
      </c>
      <c r="AF144" s="293">
        <f t="shared" si="212"/>
        <v>2173420</v>
      </c>
      <c r="AG144" s="115">
        <v>2173420</v>
      </c>
      <c r="AH144" s="115">
        <v>0</v>
      </c>
      <c r="AI144" s="293">
        <f t="shared" si="214"/>
        <v>2173420</v>
      </c>
      <c r="AJ144" s="115">
        <v>0</v>
      </c>
      <c r="AK144" s="115">
        <v>0</v>
      </c>
      <c r="AL144" s="420"/>
      <c r="AM144" s="293">
        <f t="shared" si="216"/>
        <v>0</v>
      </c>
      <c r="AN144" s="115">
        <v>0</v>
      </c>
      <c r="AO144" s="115">
        <v>0</v>
      </c>
      <c r="AP144" s="293">
        <f t="shared" si="218"/>
        <v>0</v>
      </c>
      <c r="AQ144" s="421">
        <f t="shared" si="219"/>
        <v>0</v>
      </c>
      <c r="AR144" s="48"/>
    </row>
    <row r="145" spans="1:44" s="4" customFormat="1" ht="50.45" customHeight="1" thickBot="1">
      <c r="A145" s="419"/>
      <c r="B145" s="35" t="s">
        <v>471</v>
      </c>
      <c r="C145" s="437" t="s">
        <v>476</v>
      </c>
      <c r="D145" s="430"/>
      <c r="E145" s="389" t="s">
        <v>473</v>
      </c>
      <c r="F145" s="395" t="s">
        <v>474</v>
      </c>
      <c r="G145" s="71">
        <v>2024</v>
      </c>
      <c r="H145" s="71">
        <v>2030</v>
      </c>
      <c r="I145" s="115">
        <v>1086710</v>
      </c>
      <c r="J145" s="115">
        <v>0</v>
      </c>
      <c r="K145" s="293">
        <f t="shared" si="220"/>
        <v>1086710</v>
      </c>
      <c r="L145" s="115">
        <v>1086710</v>
      </c>
      <c r="M145" s="115">
        <v>0</v>
      </c>
      <c r="N145" s="293">
        <f t="shared" si="199"/>
        <v>1086710</v>
      </c>
      <c r="O145" s="115">
        <v>1086710</v>
      </c>
      <c r="P145" s="115">
        <v>0</v>
      </c>
      <c r="Q145" s="293">
        <f t="shared" si="201"/>
        <v>1086710</v>
      </c>
      <c r="R145" s="115">
        <v>1086710</v>
      </c>
      <c r="S145" s="115">
        <v>0</v>
      </c>
      <c r="T145" s="293">
        <f t="shared" si="203"/>
        <v>1086710</v>
      </c>
      <c r="U145" s="115">
        <v>1086710</v>
      </c>
      <c r="V145" s="115">
        <v>0</v>
      </c>
      <c r="W145" s="293">
        <f t="shared" si="205"/>
        <v>1086710</v>
      </c>
      <c r="X145" s="115">
        <v>1086710</v>
      </c>
      <c r="Y145" s="115">
        <v>0</v>
      </c>
      <c r="Z145" s="293">
        <f t="shared" si="207"/>
        <v>1086710</v>
      </c>
      <c r="AA145" s="115">
        <v>1086710</v>
      </c>
      <c r="AB145" s="115">
        <v>0</v>
      </c>
      <c r="AC145" s="293">
        <f t="shared" si="209"/>
        <v>1086710</v>
      </c>
      <c r="AD145" s="115">
        <f t="shared" si="227"/>
        <v>7606970</v>
      </c>
      <c r="AE145" s="115">
        <f t="shared" si="228"/>
        <v>0</v>
      </c>
      <c r="AF145" s="293">
        <f t="shared" si="212"/>
        <v>7606970</v>
      </c>
      <c r="AG145" s="115">
        <f>1086710*3</f>
        <v>3260130</v>
      </c>
      <c r="AH145" s="115">
        <v>0</v>
      </c>
      <c r="AI145" s="293">
        <f t="shared" si="214"/>
        <v>3260130</v>
      </c>
      <c r="AJ145" s="115">
        <v>0</v>
      </c>
      <c r="AK145" s="115">
        <v>0</v>
      </c>
      <c r="AL145" s="420"/>
      <c r="AM145" s="293">
        <f t="shared" si="216"/>
        <v>0</v>
      </c>
      <c r="AN145" s="115">
        <f>1086710*4</f>
        <v>4346840</v>
      </c>
      <c r="AO145" s="420"/>
      <c r="AP145" s="293">
        <f t="shared" si="218"/>
        <v>4346840</v>
      </c>
      <c r="AQ145" s="421">
        <f t="shared" si="219"/>
        <v>0</v>
      </c>
      <c r="AR145" s="48"/>
    </row>
    <row r="146" spans="1:44" s="4" customFormat="1" ht="45.6" customHeight="1" thickBot="1">
      <c r="A146" s="433"/>
      <c r="B146" s="438" t="s">
        <v>477</v>
      </c>
      <c r="C146" s="287" t="s">
        <v>478</v>
      </c>
      <c r="D146" s="287"/>
      <c r="E146" s="440" t="s">
        <v>485</v>
      </c>
      <c r="F146" s="441" t="s">
        <v>486</v>
      </c>
      <c r="G146" s="438">
        <v>2024</v>
      </c>
      <c r="H146" s="438">
        <v>2030</v>
      </c>
      <c r="I146" s="427">
        <f>SUM(I147:I149)</f>
        <v>4340130</v>
      </c>
      <c r="J146" s="427">
        <f>SUM(J147:J149)</f>
        <v>0</v>
      </c>
      <c r="K146" s="220">
        <f t="shared" ref="K146" si="233">SUM(I146:J146)</f>
        <v>4340130</v>
      </c>
      <c r="L146" s="427">
        <f>SUM(L147:L149)</f>
        <v>1080000</v>
      </c>
      <c r="M146" s="427">
        <f>SUM(M147:M149)</f>
        <v>0</v>
      </c>
      <c r="N146" s="220">
        <f t="shared" si="199"/>
        <v>1080000</v>
      </c>
      <c r="O146" s="427">
        <f>SUM(O147:O149)</f>
        <v>1080000</v>
      </c>
      <c r="P146" s="427">
        <f>SUM(P147:P149)</f>
        <v>0</v>
      </c>
      <c r="Q146" s="220">
        <f t="shared" si="201"/>
        <v>1080000</v>
      </c>
      <c r="R146" s="427">
        <f>SUM(R147:R149)</f>
        <v>1080000</v>
      </c>
      <c r="S146" s="427">
        <f>SUM(S147:S149)</f>
        <v>0</v>
      </c>
      <c r="T146" s="220">
        <f t="shared" si="203"/>
        <v>1080000</v>
      </c>
      <c r="U146" s="427">
        <f>SUM(U147:U149)</f>
        <v>1080000</v>
      </c>
      <c r="V146" s="427">
        <f>SUM(V147:V149)</f>
        <v>0</v>
      </c>
      <c r="W146" s="220">
        <f t="shared" si="205"/>
        <v>1080000</v>
      </c>
      <c r="X146" s="427">
        <f>SUM(X147:X149)</f>
        <v>1080000</v>
      </c>
      <c r="Y146" s="427">
        <f>SUM(Y147:Y149)</f>
        <v>0</v>
      </c>
      <c r="Z146" s="220">
        <f t="shared" si="207"/>
        <v>1080000</v>
      </c>
      <c r="AA146" s="427">
        <f>SUM(AA147:AA149)</f>
        <v>1080000</v>
      </c>
      <c r="AB146" s="427">
        <f>SUM(AB147:AB149)</f>
        <v>0</v>
      </c>
      <c r="AC146" s="220">
        <f t="shared" si="209"/>
        <v>1080000</v>
      </c>
      <c r="AD146" s="427">
        <f t="shared" ref="AD146:AD149" si="234">I146+L146+O146+R146+U146+X146+AA146</f>
        <v>10820130</v>
      </c>
      <c r="AE146" s="427">
        <f t="shared" ref="AE146:AE149" si="235">J146+M146+P146+S146+V146+Y146+AB146</f>
        <v>0</v>
      </c>
      <c r="AF146" s="220">
        <f t="shared" si="212"/>
        <v>10820130</v>
      </c>
      <c r="AG146" s="427">
        <f>SUM(AG147:AG149)</f>
        <v>6500130</v>
      </c>
      <c r="AH146" s="427">
        <f>SUM(AH147:AH149)</f>
        <v>0</v>
      </c>
      <c r="AI146" s="220">
        <f t="shared" si="214"/>
        <v>6500130</v>
      </c>
      <c r="AJ146" s="427">
        <f>SUM(AJ147:AJ149)</f>
        <v>0</v>
      </c>
      <c r="AK146" s="427">
        <f>SUM(AK147:AK149)</f>
        <v>0</v>
      </c>
      <c r="AL146" s="427"/>
      <c r="AM146" s="220">
        <f t="shared" si="216"/>
        <v>0</v>
      </c>
      <c r="AN146" s="427">
        <f>SUM(AN147:AN149)</f>
        <v>4320000</v>
      </c>
      <c r="AO146" s="427">
        <f>SUM(AO147:AO149)</f>
        <v>0</v>
      </c>
      <c r="AP146" s="220">
        <f t="shared" si="218"/>
        <v>4320000</v>
      </c>
      <c r="AQ146" s="428">
        <f t="shared" ref="AQ146" si="236">SUM(AP146+AM146+AI146)-AF146</f>
        <v>0</v>
      </c>
      <c r="AR146" s="48"/>
    </row>
    <row r="147" spans="1:44" s="4" customFormat="1" ht="38.450000000000003" customHeight="1">
      <c r="A147" s="419"/>
      <c r="B147" s="35" t="s">
        <v>479</v>
      </c>
      <c r="C147" s="439" t="s">
        <v>482</v>
      </c>
      <c r="D147" s="92"/>
      <c r="E147" s="329" t="s">
        <v>485</v>
      </c>
      <c r="F147" s="334" t="s">
        <v>486</v>
      </c>
      <c r="G147" s="71">
        <v>2024</v>
      </c>
      <c r="H147" s="71">
        <v>2024</v>
      </c>
      <c r="I147" s="115">
        <v>3260130</v>
      </c>
      <c r="J147" s="115">
        <v>0</v>
      </c>
      <c r="K147" s="293">
        <f t="shared" si="220"/>
        <v>3260130</v>
      </c>
      <c r="L147" s="115">
        <v>0</v>
      </c>
      <c r="M147" s="115">
        <v>0</v>
      </c>
      <c r="N147" s="293">
        <f t="shared" si="199"/>
        <v>0</v>
      </c>
      <c r="O147" s="115">
        <v>0</v>
      </c>
      <c r="P147" s="115">
        <v>0</v>
      </c>
      <c r="Q147" s="293">
        <f t="shared" si="201"/>
        <v>0</v>
      </c>
      <c r="R147" s="115">
        <v>0</v>
      </c>
      <c r="S147" s="115">
        <v>0</v>
      </c>
      <c r="T147" s="293">
        <f t="shared" si="203"/>
        <v>0</v>
      </c>
      <c r="U147" s="115">
        <v>0</v>
      </c>
      <c r="V147" s="115">
        <v>0</v>
      </c>
      <c r="W147" s="293">
        <f t="shared" si="205"/>
        <v>0</v>
      </c>
      <c r="X147" s="115">
        <v>0</v>
      </c>
      <c r="Y147" s="115">
        <v>0</v>
      </c>
      <c r="Z147" s="293">
        <f t="shared" si="207"/>
        <v>0</v>
      </c>
      <c r="AA147" s="115">
        <v>0</v>
      </c>
      <c r="AB147" s="115">
        <v>0</v>
      </c>
      <c r="AC147" s="293">
        <f t="shared" si="209"/>
        <v>0</v>
      </c>
      <c r="AD147" s="115">
        <f t="shared" si="234"/>
        <v>3260130</v>
      </c>
      <c r="AE147" s="115">
        <f t="shared" si="235"/>
        <v>0</v>
      </c>
      <c r="AF147" s="293">
        <f t="shared" si="212"/>
        <v>3260130</v>
      </c>
      <c r="AG147" s="115">
        <v>3260130</v>
      </c>
      <c r="AH147" s="115">
        <v>0</v>
      </c>
      <c r="AI147" s="293">
        <f t="shared" si="214"/>
        <v>3260130</v>
      </c>
      <c r="AJ147" s="115">
        <v>0</v>
      </c>
      <c r="AK147" s="115">
        <v>0</v>
      </c>
      <c r="AL147" s="420"/>
      <c r="AM147" s="293">
        <f t="shared" si="216"/>
        <v>0</v>
      </c>
      <c r="AN147" s="115">
        <v>0</v>
      </c>
      <c r="AO147" s="115">
        <v>0</v>
      </c>
      <c r="AP147" s="293">
        <f t="shared" si="218"/>
        <v>0</v>
      </c>
      <c r="AQ147" s="421">
        <f t="shared" si="219"/>
        <v>0</v>
      </c>
      <c r="AR147" s="48"/>
    </row>
    <row r="148" spans="1:44" s="4" customFormat="1" ht="44.45" customHeight="1">
      <c r="A148" s="419"/>
      <c r="B148" s="35" t="s">
        <v>480</v>
      </c>
      <c r="C148" s="327" t="s">
        <v>483</v>
      </c>
      <c r="D148" s="92"/>
      <c r="E148" s="330" t="s">
        <v>485</v>
      </c>
      <c r="F148" s="335" t="s">
        <v>486</v>
      </c>
      <c r="G148" s="71">
        <v>2024</v>
      </c>
      <c r="H148" s="71">
        <v>2030</v>
      </c>
      <c r="I148" s="115">
        <f>2*20*3*9000</f>
        <v>1080000</v>
      </c>
      <c r="J148" s="115">
        <v>0</v>
      </c>
      <c r="K148" s="293">
        <f t="shared" si="220"/>
        <v>1080000</v>
      </c>
      <c r="L148" s="115">
        <f>2*20*3*9000</f>
        <v>1080000</v>
      </c>
      <c r="M148" s="115">
        <v>0</v>
      </c>
      <c r="N148" s="293">
        <f t="shared" si="199"/>
        <v>1080000</v>
      </c>
      <c r="O148" s="115">
        <f>2*20*3*9000</f>
        <v>1080000</v>
      </c>
      <c r="P148" s="115">
        <v>0</v>
      </c>
      <c r="Q148" s="293">
        <f t="shared" si="201"/>
        <v>1080000</v>
      </c>
      <c r="R148" s="115">
        <f>2*20*3*9000</f>
        <v>1080000</v>
      </c>
      <c r="S148" s="115">
        <v>0</v>
      </c>
      <c r="T148" s="293">
        <f t="shared" si="203"/>
        <v>1080000</v>
      </c>
      <c r="U148" s="115">
        <f>2*20*3*9000</f>
        <v>1080000</v>
      </c>
      <c r="V148" s="115">
        <v>0</v>
      </c>
      <c r="W148" s="293">
        <f t="shared" si="205"/>
        <v>1080000</v>
      </c>
      <c r="X148" s="115">
        <f>2*20*3*9000</f>
        <v>1080000</v>
      </c>
      <c r="Y148" s="115">
        <v>0</v>
      </c>
      <c r="Z148" s="293">
        <f t="shared" si="207"/>
        <v>1080000</v>
      </c>
      <c r="AA148" s="115">
        <f>2*20*3*9000</f>
        <v>1080000</v>
      </c>
      <c r="AB148" s="115">
        <v>0</v>
      </c>
      <c r="AC148" s="293">
        <f t="shared" si="209"/>
        <v>1080000</v>
      </c>
      <c r="AD148" s="115">
        <f t="shared" si="234"/>
        <v>7560000</v>
      </c>
      <c r="AE148" s="115">
        <f t="shared" si="235"/>
        <v>0</v>
      </c>
      <c r="AF148" s="293">
        <f t="shared" si="212"/>
        <v>7560000</v>
      </c>
      <c r="AG148" s="115">
        <f>1080000*3</f>
        <v>3240000</v>
      </c>
      <c r="AH148" s="115">
        <v>0</v>
      </c>
      <c r="AI148" s="293">
        <f t="shared" si="214"/>
        <v>3240000</v>
      </c>
      <c r="AJ148" s="115">
        <v>0</v>
      </c>
      <c r="AK148" s="115">
        <v>0</v>
      </c>
      <c r="AL148" s="420"/>
      <c r="AM148" s="293">
        <f t="shared" si="216"/>
        <v>0</v>
      </c>
      <c r="AN148" s="115">
        <f>1080000*4</f>
        <v>4320000</v>
      </c>
      <c r="AO148" s="115">
        <v>0</v>
      </c>
      <c r="AP148" s="293">
        <f t="shared" si="218"/>
        <v>4320000</v>
      </c>
      <c r="AQ148" s="421">
        <f t="shared" si="219"/>
        <v>0</v>
      </c>
      <c r="AR148" s="48"/>
    </row>
    <row r="149" spans="1:44" s="4" customFormat="1" ht="50.45" customHeight="1">
      <c r="A149" s="419"/>
      <c r="B149" s="88" t="s">
        <v>481</v>
      </c>
      <c r="C149" s="338" t="s">
        <v>484</v>
      </c>
      <c r="D149" s="180"/>
      <c r="E149" s="340" t="s">
        <v>485</v>
      </c>
      <c r="F149" s="446" t="s">
        <v>486</v>
      </c>
      <c r="G149" s="447">
        <v>2024</v>
      </c>
      <c r="H149" s="447">
        <v>2030</v>
      </c>
      <c r="I149" s="115">
        <v>0</v>
      </c>
      <c r="J149" s="115">
        <v>0</v>
      </c>
      <c r="K149" s="293">
        <f t="shared" si="220"/>
        <v>0</v>
      </c>
      <c r="L149" s="115">
        <v>0</v>
      </c>
      <c r="M149" s="115">
        <v>0</v>
      </c>
      <c r="N149" s="293">
        <f t="shared" si="199"/>
        <v>0</v>
      </c>
      <c r="O149" s="115">
        <v>0</v>
      </c>
      <c r="P149" s="115">
        <v>0</v>
      </c>
      <c r="Q149" s="293">
        <f t="shared" si="201"/>
        <v>0</v>
      </c>
      <c r="R149" s="115">
        <v>0</v>
      </c>
      <c r="S149" s="115">
        <v>0</v>
      </c>
      <c r="T149" s="293">
        <f t="shared" si="203"/>
        <v>0</v>
      </c>
      <c r="U149" s="115">
        <v>0</v>
      </c>
      <c r="V149" s="115">
        <v>0</v>
      </c>
      <c r="W149" s="293">
        <f t="shared" si="205"/>
        <v>0</v>
      </c>
      <c r="X149" s="115">
        <v>0</v>
      </c>
      <c r="Y149" s="115">
        <v>0</v>
      </c>
      <c r="Z149" s="293">
        <f t="shared" si="207"/>
        <v>0</v>
      </c>
      <c r="AA149" s="115">
        <v>0</v>
      </c>
      <c r="AB149" s="115">
        <v>0</v>
      </c>
      <c r="AC149" s="293">
        <f t="shared" si="209"/>
        <v>0</v>
      </c>
      <c r="AD149" s="115">
        <f t="shared" si="234"/>
        <v>0</v>
      </c>
      <c r="AE149" s="115">
        <f t="shared" si="235"/>
        <v>0</v>
      </c>
      <c r="AF149" s="293">
        <f t="shared" si="212"/>
        <v>0</v>
      </c>
      <c r="AG149" s="115">
        <v>0</v>
      </c>
      <c r="AH149" s="115">
        <v>0</v>
      </c>
      <c r="AI149" s="293">
        <f t="shared" si="214"/>
        <v>0</v>
      </c>
      <c r="AJ149" s="115">
        <v>0</v>
      </c>
      <c r="AK149" s="115">
        <v>0</v>
      </c>
      <c r="AL149" s="420"/>
      <c r="AM149" s="293">
        <f t="shared" si="216"/>
        <v>0</v>
      </c>
      <c r="AN149" s="115">
        <v>0</v>
      </c>
      <c r="AO149" s="115">
        <v>0</v>
      </c>
      <c r="AP149" s="293">
        <f t="shared" si="218"/>
        <v>0</v>
      </c>
      <c r="AQ149" s="421">
        <f t="shared" si="219"/>
        <v>0</v>
      </c>
      <c r="AR149" s="48"/>
    </row>
    <row r="150" spans="1:44" s="444" customFormat="1" ht="46.9" customHeight="1">
      <c r="A150" s="442"/>
      <c r="B150" s="438" t="s">
        <v>487</v>
      </c>
      <c r="C150" s="287" t="s">
        <v>500</v>
      </c>
      <c r="D150" s="287"/>
      <c r="E150" s="398" t="s">
        <v>485</v>
      </c>
      <c r="F150" s="398" t="s">
        <v>486</v>
      </c>
      <c r="G150" s="438">
        <v>2024</v>
      </c>
      <c r="H150" s="438">
        <v>2030</v>
      </c>
      <c r="I150" s="427">
        <f>SUM(I151:I152)</f>
        <v>3260130</v>
      </c>
      <c r="J150" s="427">
        <f>SUM(J151:J152)</f>
        <v>0</v>
      </c>
      <c r="K150" s="220">
        <f t="shared" ref="K150" si="237">SUM(I150:J150)</f>
        <v>3260130</v>
      </c>
      <c r="L150" s="427">
        <f>SUM(L151:L152)</f>
        <v>3260130</v>
      </c>
      <c r="M150" s="427">
        <f>SUM(M151:M152)</f>
        <v>0</v>
      </c>
      <c r="N150" s="220">
        <f t="shared" si="199"/>
        <v>3260130</v>
      </c>
      <c r="O150" s="427">
        <f>SUM(O151:O152)</f>
        <v>3260130</v>
      </c>
      <c r="P150" s="427">
        <f>SUM(P151:P152)</f>
        <v>0</v>
      </c>
      <c r="Q150" s="220">
        <f t="shared" si="201"/>
        <v>3260130</v>
      </c>
      <c r="R150" s="427">
        <f>SUM(R151:R152)</f>
        <v>3260130</v>
      </c>
      <c r="S150" s="427">
        <f>SUM(S151:S152)</f>
        <v>0</v>
      </c>
      <c r="T150" s="220">
        <f t="shared" si="203"/>
        <v>3260130</v>
      </c>
      <c r="U150" s="427">
        <f>SUM(U151:U152)</f>
        <v>3260130</v>
      </c>
      <c r="V150" s="427">
        <f>SUM(V151:V152)</f>
        <v>0</v>
      </c>
      <c r="W150" s="220">
        <f t="shared" si="205"/>
        <v>3260130</v>
      </c>
      <c r="X150" s="427">
        <f>SUM(X151:X152)</f>
        <v>3260130</v>
      </c>
      <c r="Y150" s="427">
        <f>SUM(Y151:Y152)</f>
        <v>0</v>
      </c>
      <c r="Z150" s="220">
        <f t="shared" si="207"/>
        <v>3260130</v>
      </c>
      <c r="AA150" s="427">
        <f>SUM(AA151:AA152)</f>
        <v>3260130</v>
      </c>
      <c r="AB150" s="427">
        <f>SUM(AB151:AB152)</f>
        <v>0</v>
      </c>
      <c r="AC150" s="220">
        <f t="shared" si="209"/>
        <v>3260130</v>
      </c>
      <c r="AD150" s="427">
        <f t="shared" ref="AD150:AD152" si="238">I150+L150+O150+R150+U150+X150+AA150</f>
        <v>22820910</v>
      </c>
      <c r="AE150" s="427">
        <f t="shared" ref="AE150:AE152" si="239">J150+M150+P150+S150+V150+Y150+AB150</f>
        <v>0</v>
      </c>
      <c r="AF150" s="220">
        <f t="shared" si="212"/>
        <v>22820910</v>
      </c>
      <c r="AG150" s="427">
        <f>SUM(AG151:AG152)</f>
        <v>9780390</v>
      </c>
      <c r="AH150" s="427">
        <f>SUM(AH151:AH152)</f>
        <v>0</v>
      </c>
      <c r="AI150" s="220">
        <f t="shared" si="214"/>
        <v>9780390</v>
      </c>
      <c r="AJ150" s="427">
        <f>SUM(AJ151:AJ152)</f>
        <v>0</v>
      </c>
      <c r="AK150" s="427">
        <f>SUM(AK151:AK152)</f>
        <v>0</v>
      </c>
      <c r="AL150" s="427"/>
      <c r="AM150" s="220">
        <f t="shared" si="216"/>
        <v>0</v>
      </c>
      <c r="AN150" s="427">
        <f>SUM(AN151:AN152)</f>
        <v>13040520</v>
      </c>
      <c r="AO150" s="427">
        <f>SUM(AO151:AO152)</f>
        <v>0</v>
      </c>
      <c r="AP150" s="220">
        <f t="shared" si="218"/>
        <v>13040520</v>
      </c>
      <c r="AQ150" s="428">
        <f t="shared" ref="AQ150" si="240">SUM(AP150+AM150+AI150)-AF150</f>
        <v>0</v>
      </c>
      <c r="AR150" s="443"/>
    </row>
    <row r="151" spans="1:44" s="4" customFormat="1" ht="33.6" customHeight="1">
      <c r="A151" s="419"/>
      <c r="B151" s="35" t="s">
        <v>488</v>
      </c>
      <c r="C151" s="327" t="s">
        <v>501</v>
      </c>
      <c r="D151" s="92"/>
      <c r="E151" s="330" t="s">
        <v>485</v>
      </c>
      <c r="F151" s="330" t="s">
        <v>486</v>
      </c>
      <c r="G151" s="71">
        <v>2024</v>
      </c>
      <c r="H151" s="71">
        <v>2030</v>
      </c>
      <c r="I151" s="115">
        <v>1086710</v>
      </c>
      <c r="J151" s="115">
        <v>0</v>
      </c>
      <c r="K151" s="293">
        <f t="shared" si="220"/>
        <v>1086710</v>
      </c>
      <c r="L151" s="115">
        <v>1086710</v>
      </c>
      <c r="M151" s="115">
        <v>0</v>
      </c>
      <c r="N151" s="293">
        <f t="shared" si="199"/>
        <v>1086710</v>
      </c>
      <c r="O151" s="115">
        <v>1086710</v>
      </c>
      <c r="P151" s="115">
        <v>0</v>
      </c>
      <c r="Q151" s="293">
        <f t="shared" si="201"/>
        <v>1086710</v>
      </c>
      <c r="R151" s="115">
        <v>1086710</v>
      </c>
      <c r="S151" s="115">
        <v>0</v>
      </c>
      <c r="T151" s="293">
        <f t="shared" si="203"/>
        <v>1086710</v>
      </c>
      <c r="U151" s="115">
        <v>1086710</v>
      </c>
      <c r="V151" s="115">
        <v>0</v>
      </c>
      <c r="W151" s="293">
        <f t="shared" si="205"/>
        <v>1086710</v>
      </c>
      <c r="X151" s="115">
        <v>1086710</v>
      </c>
      <c r="Y151" s="115">
        <v>0</v>
      </c>
      <c r="Z151" s="293">
        <f t="shared" si="207"/>
        <v>1086710</v>
      </c>
      <c r="AA151" s="115">
        <v>1086710</v>
      </c>
      <c r="AB151" s="115">
        <v>0</v>
      </c>
      <c r="AC151" s="293">
        <f t="shared" si="209"/>
        <v>1086710</v>
      </c>
      <c r="AD151" s="115">
        <f t="shared" si="238"/>
        <v>7606970</v>
      </c>
      <c r="AE151" s="115">
        <f t="shared" si="239"/>
        <v>0</v>
      </c>
      <c r="AF151" s="293">
        <f t="shared" si="212"/>
        <v>7606970</v>
      </c>
      <c r="AG151" s="115">
        <f>1086710*3</f>
        <v>3260130</v>
      </c>
      <c r="AH151" s="115">
        <v>0</v>
      </c>
      <c r="AI151" s="293">
        <f t="shared" si="214"/>
        <v>3260130</v>
      </c>
      <c r="AJ151" s="115">
        <v>0</v>
      </c>
      <c r="AK151" s="115">
        <v>0</v>
      </c>
      <c r="AL151" s="420"/>
      <c r="AM151" s="293">
        <f t="shared" si="216"/>
        <v>0</v>
      </c>
      <c r="AN151" s="115">
        <f>1086710*4</f>
        <v>4346840</v>
      </c>
      <c r="AO151" s="115">
        <v>0</v>
      </c>
      <c r="AP151" s="293">
        <f t="shared" si="218"/>
        <v>4346840</v>
      </c>
      <c r="AQ151" s="421">
        <f t="shared" si="219"/>
        <v>0</v>
      </c>
      <c r="AR151" s="48"/>
    </row>
    <row r="152" spans="1:44" s="4" customFormat="1" ht="45.6" customHeight="1">
      <c r="A152" s="419"/>
      <c r="B152" s="35" t="s">
        <v>489</v>
      </c>
      <c r="C152" s="327" t="s">
        <v>502</v>
      </c>
      <c r="D152" s="92"/>
      <c r="E152" s="330" t="s">
        <v>485</v>
      </c>
      <c r="F152" s="330" t="s">
        <v>486</v>
      </c>
      <c r="G152" s="71">
        <v>2024</v>
      </c>
      <c r="H152" s="71">
        <v>2030</v>
      </c>
      <c r="I152" s="115">
        <v>2173420</v>
      </c>
      <c r="J152" s="115">
        <v>0</v>
      </c>
      <c r="K152" s="293">
        <f t="shared" si="220"/>
        <v>2173420</v>
      </c>
      <c r="L152" s="115">
        <v>2173420</v>
      </c>
      <c r="M152" s="115">
        <v>0</v>
      </c>
      <c r="N152" s="293">
        <f t="shared" si="199"/>
        <v>2173420</v>
      </c>
      <c r="O152" s="115">
        <v>2173420</v>
      </c>
      <c r="P152" s="115">
        <v>0</v>
      </c>
      <c r="Q152" s="293">
        <f t="shared" si="201"/>
        <v>2173420</v>
      </c>
      <c r="R152" s="115">
        <v>2173420</v>
      </c>
      <c r="S152" s="115">
        <v>0</v>
      </c>
      <c r="T152" s="293">
        <f t="shared" si="203"/>
        <v>2173420</v>
      </c>
      <c r="U152" s="115">
        <v>2173420</v>
      </c>
      <c r="V152" s="115">
        <v>0</v>
      </c>
      <c r="W152" s="293">
        <f t="shared" si="205"/>
        <v>2173420</v>
      </c>
      <c r="X152" s="115">
        <v>2173420</v>
      </c>
      <c r="Y152" s="115">
        <v>0</v>
      </c>
      <c r="Z152" s="293">
        <f t="shared" si="207"/>
        <v>2173420</v>
      </c>
      <c r="AA152" s="115">
        <v>2173420</v>
      </c>
      <c r="AB152" s="115">
        <v>0</v>
      </c>
      <c r="AC152" s="293">
        <f t="shared" si="209"/>
        <v>2173420</v>
      </c>
      <c r="AD152" s="115">
        <f t="shared" si="238"/>
        <v>15213940</v>
      </c>
      <c r="AE152" s="115">
        <f t="shared" si="239"/>
        <v>0</v>
      </c>
      <c r="AF152" s="293">
        <f t="shared" si="212"/>
        <v>15213940</v>
      </c>
      <c r="AG152" s="115">
        <f>2173420*3</f>
        <v>6520260</v>
      </c>
      <c r="AH152" s="115">
        <v>0</v>
      </c>
      <c r="AI152" s="293">
        <f t="shared" si="214"/>
        <v>6520260</v>
      </c>
      <c r="AJ152" s="115">
        <v>0</v>
      </c>
      <c r="AK152" s="115">
        <v>0</v>
      </c>
      <c r="AL152" s="420"/>
      <c r="AM152" s="293">
        <f t="shared" si="216"/>
        <v>0</v>
      </c>
      <c r="AN152" s="115">
        <f>2173420*4</f>
        <v>8693680</v>
      </c>
      <c r="AO152" s="115">
        <v>0</v>
      </c>
      <c r="AP152" s="293">
        <f t="shared" si="218"/>
        <v>8693680</v>
      </c>
      <c r="AQ152" s="421">
        <f t="shared" si="219"/>
        <v>0</v>
      </c>
      <c r="AR152" s="48"/>
    </row>
    <row r="153" spans="1:44" s="444" customFormat="1" ht="60" customHeight="1">
      <c r="A153" s="442"/>
      <c r="B153" s="438" t="s">
        <v>490</v>
      </c>
      <c r="C153" s="287" t="s">
        <v>507</v>
      </c>
      <c r="D153" s="287"/>
      <c r="E153" s="448" t="s">
        <v>503</v>
      </c>
      <c r="F153" s="438"/>
      <c r="G153" s="350">
        <v>2024</v>
      </c>
      <c r="H153" s="350">
        <v>2030</v>
      </c>
      <c r="I153" s="220">
        <f>SUM(I154:I156)</f>
        <v>6520260</v>
      </c>
      <c r="J153" s="220">
        <f>SUM(J154:J156)</f>
        <v>0</v>
      </c>
      <c r="K153" s="220">
        <f t="shared" ref="K153" si="241">SUM(I153:J153)</f>
        <v>6520260</v>
      </c>
      <c r="L153" s="220">
        <f>SUM(L154:L156)</f>
        <v>3260130</v>
      </c>
      <c r="M153" s="220">
        <f>SUM(M154:M156)</f>
        <v>0</v>
      </c>
      <c r="N153" s="220">
        <f t="shared" si="199"/>
        <v>3260130</v>
      </c>
      <c r="O153" s="220">
        <f>SUM(O154:O156)</f>
        <v>1086710</v>
      </c>
      <c r="P153" s="220">
        <f>SUM(P154:P156)</f>
        <v>0</v>
      </c>
      <c r="Q153" s="220">
        <f t="shared" si="201"/>
        <v>1086710</v>
      </c>
      <c r="R153" s="220">
        <f>SUM(R154:R156)</f>
        <v>1086710</v>
      </c>
      <c r="S153" s="220">
        <f>SUM(S154:S156)</f>
        <v>0</v>
      </c>
      <c r="T153" s="220">
        <f t="shared" si="203"/>
        <v>1086710</v>
      </c>
      <c r="U153" s="427">
        <f>SUM(U154:U156)</f>
        <v>1086710</v>
      </c>
      <c r="V153" s="427">
        <f>SUM(V154:V156)</f>
        <v>0</v>
      </c>
      <c r="W153" s="220">
        <f t="shared" si="205"/>
        <v>1086710</v>
      </c>
      <c r="X153" s="427">
        <f>SUM(X154:X156)</f>
        <v>1086710</v>
      </c>
      <c r="Y153" s="427">
        <f>SUM(Y154:Y156)</f>
        <v>0</v>
      </c>
      <c r="Z153" s="220">
        <f t="shared" si="207"/>
        <v>1086710</v>
      </c>
      <c r="AA153" s="427">
        <f>SUM(AA154:AA156)</f>
        <v>1086710</v>
      </c>
      <c r="AB153" s="427">
        <f>SUM(AB154:AB156)</f>
        <v>0</v>
      </c>
      <c r="AC153" s="220">
        <f t="shared" si="209"/>
        <v>1086710</v>
      </c>
      <c r="AD153" s="427">
        <f t="shared" ref="AD153:AD156" si="242">I153+L153+O153+R153+U153+X153+AA153</f>
        <v>15213940</v>
      </c>
      <c r="AE153" s="427">
        <f t="shared" ref="AE153:AE156" si="243">J153+M153+P153+S153+V153+Y153+AB153</f>
        <v>0</v>
      </c>
      <c r="AF153" s="220">
        <f t="shared" si="212"/>
        <v>15213940</v>
      </c>
      <c r="AG153" s="220">
        <f>SUM(AG154:AG156)</f>
        <v>10867100</v>
      </c>
      <c r="AH153" s="427">
        <f>SUM(AH154:AH156)</f>
        <v>0</v>
      </c>
      <c r="AI153" s="220">
        <f t="shared" si="214"/>
        <v>10867100</v>
      </c>
      <c r="AJ153" s="427">
        <f>SUM(AJ154:AJ156)</f>
        <v>0</v>
      </c>
      <c r="AK153" s="427">
        <f>SUM(AK154:AK156)</f>
        <v>0</v>
      </c>
      <c r="AL153" s="427"/>
      <c r="AM153" s="220">
        <f t="shared" si="216"/>
        <v>0</v>
      </c>
      <c r="AN153" s="220">
        <f>SUM(AN154:AN156)</f>
        <v>4346840</v>
      </c>
      <c r="AO153" s="427">
        <f>SUM(AO154:AO156)</f>
        <v>0</v>
      </c>
      <c r="AP153" s="220">
        <f t="shared" si="218"/>
        <v>4346840</v>
      </c>
      <c r="AQ153" s="428">
        <f t="shared" ref="AQ153" si="244">SUM(AP153+AM153+AI153)-AF153</f>
        <v>0</v>
      </c>
      <c r="AR153" s="443"/>
    </row>
    <row r="154" spans="1:44" s="4" customFormat="1" ht="42" customHeight="1">
      <c r="A154" s="419"/>
      <c r="B154" s="35" t="s">
        <v>491</v>
      </c>
      <c r="C154" s="337" t="s">
        <v>504</v>
      </c>
      <c r="D154" s="92"/>
      <c r="E154" s="339" t="s">
        <v>503</v>
      </c>
      <c r="F154" s="35"/>
      <c r="G154" s="449">
        <v>2024</v>
      </c>
      <c r="H154" s="449">
        <v>2024</v>
      </c>
      <c r="I154" s="115">
        <v>3260130</v>
      </c>
      <c r="J154" s="115">
        <v>0</v>
      </c>
      <c r="K154" s="293">
        <f t="shared" si="220"/>
        <v>3260130</v>
      </c>
      <c r="L154" s="115">
        <v>0</v>
      </c>
      <c r="M154" s="115">
        <v>0</v>
      </c>
      <c r="N154" s="293">
        <f t="shared" si="199"/>
        <v>0</v>
      </c>
      <c r="O154" s="115">
        <v>0</v>
      </c>
      <c r="P154" s="115">
        <v>0</v>
      </c>
      <c r="Q154" s="293">
        <f t="shared" si="201"/>
        <v>0</v>
      </c>
      <c r="R154" s="115">
        <v>0</v>
      </c>
      <c r="S154" s="115">
        <v>0</v>
      </c>
      <c r="T154" s="293">
        <f t="shared" si="203"/>
        <v>0</v>
      </c>
      <c r="U154" s="115">
        <v>0</v>
      </c>
      <c r="V154" s="115">
        <v>0</v>
      </c>
      <c r="W154" s="293">
        <f t="shared" si="205"/>
        <v>0</v>
      </c>
      <c r="X154" s="115">
        <v>0</v>
      </c>
      <c r="Y154" s="115">
        <v>0</v>
      </c>
      <c r="Z154" s="293">
        <f t="shared" si="207"/>
        <v>0</v>
      </c>
      <c r="AA154" s="115">
        <v>0</v>
      </c>
      <c r="AB154" s="115">
        <v>0</v>
      </c>
      <c r="AC154" s="293">
        <f t="shared" si="209"/>
        <v>0</v>
      </c>
      <c r="AD154" s="115">
        <f t="shared" si="242"/>
        <v>3260130</v>
      </c>
      <c r="AE154" s="115">
        <f t="shared" si="243"/>
        <v>0</v>
      </c>
      <c r="AF154" s="293">
        <f t="shared" si="212"/>
        <v>3260130</v>
      </c>
      <c r="AG154" s="115">
        <v>3260130</v>
      </c>
      <c r="AH154" s="115">
        <v>0</v>
      </c>
      <c r="AI154" s="293">
        <f t="shared" si="214"/>
        <v>3260130</v>
      </c>
      <c r="AJ154" s="115">
        <v>0</v>
      </c>
      <c r="AK154" s="115">
        <v>0</v>
      </c>
      <c r="AL154" s="420"/>
      <c r="AM154" s="293">
        <f t="shared" si="216"/>
        <v>0</v>
      </c>
      <c r="AN154" s="115">
        <v>0</v>
      </c>
      <c r="AO154" s="115">
        <v>0</v>
      </c>
      <c r="AP154" s="293">
        <f t="shared" si="218"/>
        <v>0</v>
      </c>
      <c r="AQ154" s="421">
        <f t="shared" si="219"/>
        <v>0</v>
      </c>
      <c r="AR154" s="48"/>
    </row>
    <row r="155" spans="1:44" s="4" customFormat="1" ht="29.25" customHeight="1">
      <c r="A155" s="419"/>
      <c r="B155" s="35" t="s">
        <v>492</v>
      </c>
      <c r="C155" s="327" t="s">
        <v>505</v>
      </c>
      <c r="D155" s="92"/>
      <c r="E155" s="339" t="s">
        <v>503</v>
      </c>
      <c r="F155" s="35"/>
      <c r="G155" s="425" t="s">
        <v>467</v>
      </c>
      <c r="H155" s="425" t="s">
        <v>468</v>
      </c>
      <c r="I155" s="115">
        <v>2173420</v>
      </c>
      <c r="J155" s="115">
        <v>0</v>
      </c>
      <c r="K155" s="293">
        <f t="shared" si="220"/>
        <v>2173420</v>
      </c>
      <c r="L155" s="115">
        <v>2173420</v>
      </c>
      <c r="M155" s="115">
        <v>0</v>
      </c>
      <c r="N155" s="293">
        <f t="shared" si="199"/>
        <v>2173420</v>
      </c>
      <c r="O155" s="115">
        <v>0</v>
      </c>
      <c r="P155" s="115">
        <v>0</v>
      </c>
      <c r="Q155" s="293">
        <f t="shared" si="201"/>
        <v>0</v>
      </c>
      <c r="R155" s="115">
        <v>0</v>
      </c>
      <c r="S155" s="115">
        <v>0</v>
      </c>
      <c r="T155" s="293">
        <f t="shared" si="203"/>
        <v>0</v>
      </c>
      <c r="U155" s="115">
        <v>0</v>
      </c>
      <c r="V155" s="115">
        <v>0</v>
      </c>
      <c r="W155" s="293">
        <f t="shared" si="205"/>
        <v>0</v>
      </c>
      <c r="X155" s="115">
        <v>0</v>
      </c>
      <c r="Y155" s="115">
        <v>0</v>
      </c>
      <c r="Z155" s="293">
        <f t="shared" si="207"/>
        <v>0</v>
      </c>
      <c r="AA155" s="115">
        <v>0</v>
      </c>
      <c r="AB155" s="115">
        <v>0</v>
      </c>
      <c r="AC155" s="293">
        <f t="shared" si="209"/>
        <v>0</v>
      </c>
      <c r="AD155" s="115">
        <f t="shared" si="242"/>
        <v>4346840</v>
      </c>
      <c r="AE155" s="115">
        <f t="shared" si="243"/>
        <v>0</v>
      </c>
      <c r="AF155" s="293">
        <f t="shared" si="212"/>
        <v>4346840</v>
      </c>
      <c r="AG155" s="115">
        <v>4346840</v>
      </c>
      <c r="AH155" s="115">
        <v>0</v>
      </c>
      <c r="AI155" s="293">
        <f t="shared" si="214"/>
        <v>4346840</v>
      </c>
      <c r="AJ155" s="115">
        <v>0</v>
      </c>
      <c r="AK155" s="115">
        <v>0</v>
      </c>
      <c r="AL155" s="420"/>
      <c r="AM155" s="293">
        <f t="shared" si="216"/>
        <v>0</v>
      </c>
      <c r="AN155" s="115">
        <v>0</v>
      </c>
      <c r="AO155" s="115">
        <v>0</v>
      </c>
      <c r="AP155" s="293">
        <f t="shared" si="218"/>
        <v>0</v>
      </c>
      <c r="AQ155" s="421">
        <f t="shared" si="219"/>
        <v>0</v>
      </c>
      <c r="AR155" s="48"/>
    </row>
    <row r="156" spans="1:44" s="4" customFormat="1" ht="29.25" customHeight="1" thickBot="1">
      <c r="A156" s="419"/>
      <c r="B156" s="35" t="s">
        <v>493</v>
      </c>
      <c r="C156" s="338" t="s">
        <v>506</v>
      </c>
      <c r="D156" s="92"/>
      <c r="E156" s="339" t="s">
        <v>503</v>
      </c>
      <c r="F156" s="35"/>
      <c r="G156" s="450" t="s">
        <v>508</v>
      </c>
      <c r="H156" s="450" t="s">
        <v>509</v>
      </c>
      <c r="I156" s="115">
        <v>1086710</v>
      </c>
      <c r="J156" s="115">
        <v>0</v>
      </c>
      <c r="K156" s="293">
        <f t="shared" si="220"/>
        <v>1086710</v>
      </c>
      <c r="L156" s="115">
        <v>1086710</v>
      </c>
      <c r="M156" s="115">
        <v>0</v>
      </c>
      <c r="N156" s="293">
        <f t="shared" si="199"/>
        <v>1086710</v>
      </c>
      <c r="O156" s="115">
        <v>1086710</v>
      </c>
      <c r="P156" s="115">
        <v>0</v>
      </c>
      <c r="Q156" s="293">
        <f t="shared" si="201"/>
        <v>1086710</v>
      </c>
      <c r="R156" s="115">
        <v>1086710</v>
      </c>
      <c r="S156" s="115">
        <v>0</v>
      </c>
      <c r="T156" s="293">
        <f t="shared" si="203"/>
        <v>1086710</v>
      </c>
      <c r="U156" s="115">
        <v>1086710</v>
      </c>
      <c r="V156" s="115">
        <v>0</v>
      </c>
      <c r="W156" s="293">
        <f t="shared" si="205"/>
        <v>1086710</v>
      </c>
      <c r="X156" s="115">
        <v>1086710</v>
      </c>
      <c r="Y156" s="115">
        <v>0</v>
      </c>
      <c r="Z156" s="293">
        <f t="shared" si="207"/>
        <v>1086710</v>
      </c>
      <c r="AA156" s="115">
        <v>1086710</v>
      </c>
      <c r="AB156" s="115">
        <v>0</v>
      </c>
      <c r="AC156" s="293">
        <f t="shared" si="209"/>
        <v>1086710</v>
      </c>
      <c r="AD156" s="115">
        <f t="shared" si="242"/>
        <v>7606970</v>
      </c>
      <c r="AE156" s="115">
        <f t="shared" si="243"/>
        <v>0</v>
      </c>
      <c r="AF156" s="293">
        <f t="shared" si="212"/>
        <v>7606970</v>
      </c>
      <c r="AG156" s="115">
        <f>1086710*3</f>
        <v>3260130</v>
      </c>
      <c r="AH156" s="115">
        <v>0</v>
      </c>
      <c r="AI156" s="293">
        <f t="shared" si="214"/>
        <v>3260130</v>
      </c>
      <c r="AJ156" s="115">
        <v>0</v>
      </c>
      <c r="AK156" s="115">
        <v>0</v>
      </c>
      <c r="AL156" s="420"/>
      <c r="AM156" s="293">
        <f t="shared" si="216"/>
        <v>0</v>
      </c>
      <c r="AN156" s="115">
        <f>1086710*4</f>
        <v>4346840</v>
      </c>
      <c r="AO156" s="115">
        <v>0</v>
      </c>
      <c r="AP156" s="293">
        <f t="shared" si="218"/>
        <v>4346840</v>
      </c>
      <c r="AQ156" s="421">
        <f t="shared" si="219"/>
        <v>0</v>
      </c>
      <c r="AR156" s="48"/>
    </row>
    <row r="157" spans="1:44" s="444" customFormat="1" ht="29.25" customHeight="1" thickBot="1">
      <c r="A157" s="442"/>
      <c r="B157" s="438" t="s">
        <v>494</v>
      </c>
      <c r="C157" s="287" t="s">
        <v>510</v>
      </c>
      <c r="D157" s="287"/>
      <c r="E157" s="440" t="s">
        <v>370</v>
      </c>
      <c r="F157" s="441" t="s">
        <v>513</v>
      </c>
      <c r="G157" s="350">
        <v>2024</v>
      </c>
      <c r="H157" s="350">
        <v>2030</v>
      </c>
      <c r="I157" s="220">
        <f>SUM(I158:I159)</f>
        <v>5433550</v>
      </c>
      <c r="J157" s="220">
        <f>SUM(J158:J159)</f>
        <v>0</v>
      </c>
      <c r="K157" s="220">
        <f t="shared" ref="K157" si="245">SUM(I157:J157)</f>
        <v>5433550</v>
      </c>
      <c r="L157" s="220">
        <f>SUM(L158:L159)</f>
        <v>2173420</v>
      </c>
      <c r="M157" s="220">
        <f>SUM(M158:M159)</f>
        <v>0</v>
      </c>
      <c r="N157" s="220">
        <f t="shared" si="199"/>
        <v>2173420</v>
      </c>
      <c r="O157" s="220">
        <f>SUM(O158:O159)</f>
        <v>2173420</v>
      </c>
      <c r="P157" s="220">
        <f>SUM(P158:P159)</f>
        <v>0</v>
      </c>
      <c r="Q157" s="220">
        <f t="shared" si="201"/>
        <v>2173420</v>
      </c>
      <c r="R157" s="220">
        <f>SUM(R158:R159)</f>
        <v>2173420</v>
      </c>
      <c r="S157" s="220">
        <f>SUM(S158:S159)</f>
        <v>0</v>
      </c>
      <c r="T157" s="220">
        <f t="shared" si="203"/>
        <v>2173420</v>
      </c>
      <c r="U157" s="427">
        <f>SUM(U158:U159)</f>
        <v>2173420</v>
      </c>
      <c r="V157" s="427">
        <f>SUM(V158:V159)</f>
        <v>0</v>
      </c>
      <c r="W157" s="220">
        <f t="shared" si="205"/>
        <v>2173420</v>
      </c>
      <c r="X157" s="427">
        <f>SUM(X158:X159)</f>
        <v>2173420</v>
      </c>
      <c r="Y157" s="427">
        <f>SUM(Y158:Y159)</f>
        <v>0</v>
      </c>
      <c r="Z157" s="220">
        <f t="shared" si="207"/>
        <v>2173420</v>
      </c>
      <c r="AA157" s="427">
        <f>SUM(AA158:AA159)</f>
        <v>2173420</v>
      </c>
      <c r="AB157" s="427">
        <f>SUM(AB158:AB159)</f>
        <v>0</v>
      </c>
      <c r="AC157" s="220">
        <f t="shared" si="209"/>
        <v>2173420</v>
      </c>
      <c r="AD157" s="427">
        <f t="shared" ref="AD157:AD162" si="246">I157+L157+O157+R157+U157+X157+AA157</f>
        <v>18474070</v>
      </c>
      <c r="AE157" s="427">
        <f t="shared" ref="AE157:AE162" si="247">J157+M157+P157+S157+V157+Y157+AB157</f>
        <v>0</v>
      </c>
      <c r="AF157" s="220">
        <f t="shared" si="212"/>
        <v>18474070</v>
      </c>
      <c r="AG157" s="220">
        <f>SUM(AG158:AG159)</f>
        <v>9780390</v>
      </c>
      <c r="AH157" s="427">
        <f>SUM(AH158:AH159)</f>
        <v>0</v>
      </c>
      <c r="AI157" s="220">
        <f t="shared" si="214"/>
        <v>9780390</v>
      </c>
      <c r="AJ157" s="427">
        <f>SUM(AJ158:AJ159)</f>
        <v>0</v>
      </c>
      <c r="AK157" s="427">
        <f>SUM(AK158:AK159)</f>
        <v>0</v>
      </c>
      <c r="AL157" s="427"/>
      <c r="AM157" s="220">
        <f t="shared" si="216"/>
        <v>0</v>
      </c>
      <c r="AN157" s="220">
        <f>SUM(AN158:AN159)</f>
        <v>8693680</v>
      </c>
      <c r="AO157" s="427">
        <f>SUM(AO158:AO159)</f>
        <v>0</v>
      </c>
      <c r="AP157" s="220">
        <f t="shared" si="218"/>
        <v>8693680</v>
      </c>
      <c r="AQ157" s="428">
        <f t="shared" ref="AQ157" si="248">SUM(AP157+AM157+AI157)-AF157</f>
        <v>0</v>
      </c>
      <c r="AR157" s="443"/>
    </row>
    <row r="158" spans="1:44" s="4" customFormat="1" ht="61.15" customHeight="1">
      <c r="A158" s="419"/>
      <c r="B158" s="35" t="s">
        <v>495</v>
      </c>
      <c r="C158" s="439" t="s">
        <v>511</v>
      </c>
      <c r="D158" s="92"/>
      <c r="E158" s="329" t="s">
        <v>370</v>
      </c>
      <c r="F158" s="334" t="s">
        <v>513</v>
      </c>
      <c r="G158" s="449">
        <v>2024</v>
      </c>
      <c r="H158" s="449">
        <v>2024</v>
      </c>
      <c r="I158" s="115">
        <v>3260130</v>
      </c>
      <c r="J158" s="115">
        <v>0</v>
      </c>
      <c r="K158" s="293">
        <f t="shared" si="220"/>
        <v>3260130</v>
      </c>
      <c r="L158" s="115">
        <v>0</v>
      </c>
      <c r="M158" s="115">
        <v>0</v>
      </c>
      <c r="N158" s="293">
        <f t="shared" si="199"/>
        <v>0</v>
      </c>
      <c r="O158" s="115">
        <v>0</v>
      </c>
      <c r="P158" s="115">
        <v>0</v>
      </c>
      <c r="Q158" s="293">
        <f t="shared" si="201"/>
        <v>0</v>
      </c>
      <c r="R158" s="115">
        <v>0</v>
      </c>
      <c r="S158" s="115">
        <v>0</v>
      </c>
      <c r="T158" s="293">
        <f t="shared" si="203"/>
        <v>0</v>
      </c>
      <c r="U158" s="115">
        <v>0</v>
      </c>
      <c r="V158" s="115">
        <v>0</v>
      </c>
      <c r="W158" s="293">
        <f t="shared" si="205"/>
        <v>0</v>
      </c>
      <c r="X158" s="115">
        <v>0</v>
      </c>
      <c r="Y158" s="115">
        <v>0</v>
      </c>
      <c r="Z158" s="293">
        <f t="shared" si="207"/>
        <v>0</v>
      </c>
      <c r="AA158" s="115">
        <v>0</v>
      </c>
      <c r="AB158" s="115">
        <v>0</v>
      </c>
      <c r="AC158" s="293">
        <f t="shared" si="209"/>
        <v>0</v>
      </c>
      <c r="AD158" s="115">
        <f t="shared" si="246"/>
        <v>3260130</v>
      </c>
      <c r="AE158" s="115">
        <f t="shared" si="247"/>
        <v>0</v>
      </c>
      <c r="AF158" s="293">
        <f t="shared" si="212"/>
        <v>3260130</v>
      </c>
      <c r="AG158" s="115">
        <v>3260130</v>
      </c>
      <c r="AH158" s="115">
        <v>0</v>
      </c>
      <c r="AI158" s="293">
        <f t="shared" si="214"/>
        <v>3260130</v>
      </c>
      <c r="AJ158" s="115">
        <v>0</v>
      </c>
      <c r="AK158" s="115">
        <v>0</v>
      </c>
      <c r="AL158" s="420"/>
      <c r="AM158" s="293">
        <f t="shared" si="216"/>
        <v>0</v>
      </c>
      <c r="AN158" s="115">
        <v>0</v>
      </c>
      <c r="AO158" s="115">
        <v>0</v>
      </c>
      <c r="AP158" s="293">
        <f t="shared" si="218"/>
        <v>0</v>
      </c>
      <c r="AQ158" s="421">
        <f t="shared" si="219"/>
        <v>0</v>
      </c>
      <c r="AR158" s="48"/>
    </row>
    <row r="159" spans="1:44" s="4" customFormat="1" ht="46.15" customHeight="1" thickBot="1">
      <c r="A159" s="419"/>
      <c r="B159" s="35" t="s">
        <v>496</v>
      </c>
      <c r="C159" s="338" t="s">
        <v>512</v>
      </c>
      <c r="D159" s="92"/>
      <c r="E159" s="340" t="s">
        <v>370</v>
      </c>
      <c r="F159" s="446" t="s">
        <v>513</v>
      </c>
      <c r="G159" s="450" t="s">
        <v>508</v>
      </c>
      <c r="H159" s="450" t="s">
        <v>509</v>
      </c>
      <c r="I159" s="115">
        <v>2173420</v>
      </c>
      <c r="J159" s="115">
        <v>0</v>
      </c>
      <c r="K159" s="293">
        <f t="shared" si="220"/>
        <v>2173420</v>
      </c>
      <c r="L159" s="115">
        <v>2173420</v>
      </c>
      <c r="M159" s="115">
        <v>0</v>
      </c>
      <c r="N159" s="293">
        <f t="shared" si="199"/>
        <v>2173420</v>
      </c>
      <c r="O159" s="115">
        <v>2173420</v>
      </c>
      <c r="P159" s="115">
        <v>0</v>
      </c>
      <c r="Q159" s="293">
        <f t="shared" si="201"/>
        <v>2173420</v>
      </c>
      <c r="R159" s="115">
        <v>2173420</v>
      </c>
      <c r="S159" s="115">
        <v>0</v>
      </c>
      <c r="T159" s="293">
        <f t="shared" si="203"/>
        <v>2173420</v>
      </c>
      <c r="U159" s="115">
        <v>2173420</v>
      </c>
      <c r="V159" s="115">
        <v>0</v>
      </c>
      <c r="W159" s="293">
        <f t="shared" si="205"/>
        <v>2173420</v>
      </c>
      <c r="X159" s="115">
        <v>2173420</v>
      </c>
      <c r="Y159" s="115">
        <v>0</v>
      </c>
      <c r="Z159" s="293">
        <f t="shared" si="207"/>
        <v>2173420</v>
      </c>
      <c r="AA159" s="115">
        <v>2173420</v>
      </c>
      <c r="AB159" s="115">
        <v>0</v>
      </c>
      <c r="AC159" s="293">
        <f t="shared" si="209"/>
        <v>2173420</v>
      </c>
      <c r="AD159" s="115">
        <f t="shared" si="246"/>
        <v>15213940</v>
      </c>
      <c r="AE159" s="115">
        <f t="shared" si="247"/>
        <v>0</v>
      </c>
      <c r="AF159" s="293">
        <f t="shared" si="212"/>
        <v>15213940</v>
      </c>
      <c r="AG159" s="115">
        <f>2173420*3</f>
        <v>6520260</v>
      </c>
      <c r="AH159" s="115">
        <v>0</v>
      </c>
      <c r="AI159" s="293">
        <f t="shared" si="214"/>
        <v>6520260</v>
      </c>
      <c r="AJ159" s="115">
        <v>0</v>
      </c>
      <c r="AK159" s="115">
        <v>0</v>
      </c>
      <c r="AL159" s="420"/>
      <c r="AM159" s="293">
        <f t="shared" si="216"/>
        <v>0</v>
      </c>
      <c r="AN159" s="115">
        <f>2173420*4</f>
        <v>8693680</v>
      </c>
      <c r="AO159" s="115"/>
      <c r="AP159" s="293">
        <f t="shared" si="218"/>
        <v>8693680</v>
      </c>
      <c r="AQ159" s="421">
        <f t="shared" si="219"/>
        <v>0</v>
      </c>
      <c r="AR159" s="48"/>
    </row>
    <row r="160" spans="1:44" s="444" customFormat="1" ht="29.25" customHeight="1" thickBot="1">
      <c r="A160" s="442"/>
      <c r="B160" s="438" t="s">
        <v>497</v>
      </c>
      <c r="C160" s="287" t="s">
        <v>514</v>
      </c>
      <c r="D160" s="287"/>
      <c r="E160" s="440" t="s">
        <v>466</v>
      </c>
      <c r="F160" s="441" t="s">
        <v>209</v>
      </c>
      <c r="G160" s="350">
        <v>2024</v>
      </c>
      <c r="H160" s="350">
        <v>2030</v>
      </c>
      <c r="I160" s="220">
        <f>SUM(I161:I162)</f>
        <v>5433550</v>
      </c>
      <c r="J160" s="220">
        <f>SUM(J161:J162)</f>
        <v>0</v>
      </c>
      <c r="K160" s="220">
        <f t="shared" ref="K160" si="249">SUM(I160:J160)</f>
        <v>5433550</v>
      </c>
      <c r="L160" s="220">
        <f>SUM(L161:L162)</f>
        <v>2173420</v>
      </c>
      <c r="M160" s="220">
        <f>SUM(M161:M162)</f>
        <v>0</v>
      </c>
      <c r="N160" s="220">
        <f t="shared" si="199"/>
        <v>2173420</v>
      </c>
      <c r="O160" s="220">
        <f>SUM(O161:O162)</f>
        <v>2173420</v>
      </c>
      <c r="P160" s="220">
        <f>SUM(P161:P162)</f>
        <v>0</v>
      </c>
      <c r="Q160" s="220">
        <f t="shared" si="201"/>
        <v>2173420</v>
      </c>
      <c r="R160" s="220">
        <f>SUM(R161:R162)</f>
        <v>2173420</v>
      </c>
      <c r="S160" s="220">
        <f>SUM(S161:S162)</f>
        <v>0</v>
      </c>
      <c r="T160" s="220">
        <f t="shared" si="203"/>
        <v>2173420</v>
      </c>
      <c r="U160" s="427">
        <f>SUM(U161:U162)</f>
        <v>2173420</v>
      </c>
      <c r="V160" s="427">
        <f>SUM(V161:V162)</f>
        <v>0</v>
      </c>
      <c r="W160" s="220">
        <f t="shared" si="205"/>
        <v>2173420</v>
      </c>
      <c r="X160" s="427">
        <f>SUM(X161:X162)</f>
        <v>2173420</v>
      </c>
      <c r="Y160" s="427">
        <f>SUM(Y161:Y162)</f>
        <v>0</v>
      </c>
      <c r="Z160" s="220">
        <f t="shared" si="207"/>
        <v>2173420</v>
      </c>
      <c r="AA160" s="427">
        <f>SUM(AA161:AA162)</f>
        <v>2173420</v>
      </c>
      <c r="AB160" s="427">
        <f>SUM(AB161:AB162)</f>
        <v>0</v>
      </c>
      <c r="AC160" s="220">
        <f t="shared" si="209"/>
        <v>2173420</v>
      </c>
      <c r="AD160" s="427">
        <f t="shared" ref="AD160" si="250">I160+L160+O160+R160+U160+X160+AA160</f>
        <v>18474070</v>
      </c>
      <c r="AE160" s="427">
        <f t="shared" ref="AE160" si="251">J160+M160+P160+S160+V160+Y160+AB160</f>
        <v>0</v>
      </c>
      <c r="AF160" s="220">
        <f t="shared" si="212"/>
        <v>18474070</v>
      </c>
      <c r="AG160" s="220">
        <f>SUM(AG161:AG162)</f>
        <v>9780390</v>
      </c>
      <c r="AH160" s="427">
        <f>SUM(AH161:AH162)</f>
        <v>0</v>
      </c>
      <c r="AI160" s="220">
        <f t="shared" si="214"/>
        <v>9780390</v>
      </c>
      <c r="AJ160" s="427">
        <f>SUM(AJ161:AJ162)</f>
        <v>0</v>
      </c>
      <c r="AK160" s="427">
        <f>SUM(AK161:AK162)</f>
        <v>0</v>
      </c>
      <c r="AL160" s="427"/>
      <c r="AM160" s="220">
        <f t="shared" si="216"/>
        <v>0</v>
      </c>
      <c r="AN160" s="427">
        <f>SUM(AN161:AN162)</f>
        <v>0</v>
      </c>
      <c r="AO160" s="427">
        <f>SUM(AO161:AO162)</f>
        <v>0</v>
      </c>
      <c r="AP160" s="220">
        <f t="shared" si="218"/>
        <v>0</v>
      </c>
      <c r="AQ160" s="461">
        <f t="shared" ref="AQ160" si="252">SUM(AP160+AM160+AI160)-AF160</f>
        <v>-8693680</v>
      </c>
      <c r="AR160" s="443"/>
    </row>
    <row r="161" spans="1:44" s="4" customFormat="1" ht="49.15" customHeight="1">
      <c r="A161" s="419"/>
      <c r="B161" s="35" t="s">
        <v>498</v>
      </c>
      <c r="C161" s="439" t="s">
        <v>515</v>
      </c>
      <c r="D161" s="92"/>
      <c r="E161" s="329" t="s">
        <v>466</v>
      </c>
      <c r="F161" s="334" t="s">
        <v>209</v>
      </c>
      <c r="G161" s="449">
        <v>2024</v>
      </c>
      <c r="H161" s="449">
        <v>2024</v>
      </c>
      <c r="I161" s="115">
        <v>3260130</v>
      </c>
      <c r="J161" s="115">
        <v>0</v>
      </c>
      <c r="K161" s="293">
        <f t="shared" si="220"/>
        <v>3260130</v>
      </c>
      <c r="L161" s="115">
        <v>0</v>
      </c>
      <c r="M161" s="115">
        <v>0</v>
      </c>
      <c r="N161" s="293">
        <f t="shared" si="199"/>
        <v>0</v>
      </c>
      <c r="O161" s="115">
        <v>0</v>
      </c>
      <c r="P161" s="115">
        <v>0</v>
      </c>
      <c r="Q161" s="293">
        <f t="shared" si="201"/>
        <v>0</v>
      </c>
      <c r="R161" s="115">
        <v>0</v>
      </c>
      <c r="S161" s="115">
        <v>0</v>
      </c>
      <c r="T161" s="293">
        <f t="shared" si="203"/>
        <v>0</v>
      </c>
      <c r="U161" s="115">
        <v>0</v>
      </c>
      <c r="V161" s="115">
        <v>0</v>
      </c>
      <c r="W161" s="293">
        <f t="shared" si="205"/>
        <v>0</v>
      </c>
      <c r="X161" s="115">
        <v>0</v>
      </c>
      <c r="Y161" s="115">
        <v>0</v>
      </c>
      <c r="Z161" s="293">
        <f t="shared" si="207"/>
        <v>0</v>
      </c>
      <c r="AA161" s="115">
        <v>0</v>
      </c>
      <c r="AB161" s="115">
        <v>0</v>
      </c>
      <c r="AC161" s="293">
        <f t="shared" si="209"/>
        <v>0</v>
      </c>
      <c r="AD161" s="115">
        <f t="shared" si="246"/>
        <v>3260130</v>
      </c>
      <c r="AE161" s="115">
        <f t="shared" si="247"/>
        <v>0</v>
      </c>
      <c r="AF161" s="293">
        <f t="shared" si="212"/>
        <v>3260130</v>
      </c>
      <c r="AG161" s="115">
        <v>3260130</v>
      </c>
      <c r="AH161" s="115">
        <v>0</v>
      </c>
      <c r="AI161" s="293">
        <f t="shared" si="214"/>
        <v>3260130</v>
      </c>
      <c r="AJ161" s="115">
        <v>0</v>
      </c>
      <c r="AK161" s="115">
        <v>0</v>
      </c>
      <c r="AL161" s="420"/>
      <c r="AM161" s="293">
        <f t="shared" si="216"/>
        <v>0</v>
      </c>
      <c r="AN161" s="115">
        <v>0</v>
      </c>
      <c r="AO161" s="115">
        <v>0</v>
      </c>
      <c r="AP161" s="293">
        <f t="shared" si="218"/>
        <v>0</v>
      </c>
      <c r="AQ161" s="717">
        <f t="shared" si="219"/>
        <v>0</v>
      </c>
      <c r="AR161" s="48"/>
    </row>
    <row r="162" spans="1:44" s="4" customFormat="1" ht="29.25" customHeight="1" thickBot="1">
      <c r="A162" s="419"/>
      <c r="B162" s="35" t="s">
        <v>499</v>
      </c>
      <c r="C162" s="451" t="s">
        <v>516</v>
      </c>
      <c r="D162" s="92"/>
      <c r="E162" s="434" t="s">
        <v>466</v>
      </c>
      <c r="F162" s="336" t="s">
        <v>209</v>
      </c>
      <c r="G162" s="450" t="s">
        <v>508</v>
      </c>
      <c r="H162" s="450" t="s">
        <v>509</v>
      </c>
      <c r="I162" s="115">
        <v>2173420</v>
      </c>
      <c r="J162" s="115">
        <v>0</v>
      </c>
      <c r="K162" s="293">
        <f t="shared" si="220"/>
        <v>2173420</v>
      </c>
      <c r="L162" s="115">
        <v>2173420</v>
      </c>
      <c r="M162" s="115">
        <v>0</v>
      </c>
      <c r="N162" s="293">
        <f t="shared" si="199"/>
        <v>2173420</v>
      </c>
      <c r="O162" s="115">
        <v>2173420</v>
      </c>
      <c r="P162" s="115">
        <v>0</v>
      </c>
      <c r="Q162" s="293">
        <f t="shared" si="201"/>
        <v>2173420</v>
      </c>
      <c r="R162" s="115">
        <v>2173420</v>
      </c>
      <c r="S162" s="115">
        <v>0</v>
      </c>
      <c r="T162" s="293">
        <f t="shared" si="203"/>
        <v>2173420</v>
      </c>
      <c r="U162" s="115">
        <v>2173420</v>
      </c>
      <c r="V162" s="115">
        <v>0</v>
      </c>
      <c r="W162" s="293">
        <f t="shared" si="205"/>
        <v>2173420</v>
      </c>
      <c r="X162" s="115">
        <v>2173420</v>
      </c>
      <c r="Y162" s="115">
        <v>0</v>
      </c>
      <c r="Z162" s="293">
        <f t="shared" si="207"/>
        <v>2173420</v>
      </c>
      <c r="AA162" s="115">
        <v>2173420</v>
      </c>
      <c r="AB162" s="115">
        <v>0</v>
      </c>
      <c r="AC162" s="293">
        <f t="shared" si="209"/>
        <v>2173420</v>
      </c>
      <c r="AD162" s="115">
        <f t="shared" si="246"/>
        <v>15213940</v>
      </c>
      <c r="AE162" s="115">
        <f t="shared" si="247"/>
        <v>0</v>
      </c>
      <c r="AF162" s="293">
        <f t="shared" si="212"/>
        <v>15213940</v>
      </c>
      <c r="AG162" s="115">
        <f>2173420*3</f>
        <v>6520260</v>
      </c>
      <c r="AH162" s="115">
        <v>0</v>
      </c>
      <c r="AI162" s="293">
        <f t="shared" si="214"/>
        <v>6520260</v>
      </c>
      <c r="AJ162" s="115">
        <v>0</v>
      </c>
      <c r="AK162" s="115">
        <v>0</v>
      </c>
      <c r="AL162" s="420"/>
      <c r="AM162" s="293">
        <f t="shared" si="216"/>
        <v>0</v>
      </c>
      <c r="AN162" s="115">
        <v>0</v>
      </c>
      <c r="AO162" s="115">
        <v>0</v>
      </c>
      <c r="AP162" s="293">
        <f t="shared" si="218"/>
        <v>0</v>
      </c>
      <c r="AQ162" s="717">
        <f t="shared" si="219"/>
        <v>-8693680</v>
      </c>
      <c r="AR162" s="48"/>
    </row>
    <row r="163" spans="1:44" s="4" customFormat="1" ht="29.25" customHeight="1">
      <c r="A163" s="419"/>
      <c r="B163" s="210"/>
      <c r="C163" s="454" t="s">
        <v>517</v>
      </c>
      <c r="D163" s="217"/>
      <c r="E163" s="366"/>
      <c r="F163" s="452"/>
      <c r="G163" s="453"/>
      <c r="H163" s="453"/>
      <c r="I163" s="238">
        <f t="shared" ref="I163:AK163" si="253">SUM(I137,I142,I145,I149,I152,I156,I159)</f>
        <v>6520260</v>
      </c>
      <c r="J163" s="238">
        <f t="shared" si="253"/>
        <v>0</v>
      </c>
      <c r="K163" s="238">
        <f t="shared" si="253"/>
        <v>6520260</v>
      </c>
      <c r="L163" s="238">
        <f t="shared" si="253"/>
        <v>7606970</v>
      </c>
      <c r="M163" s="238">
        <f t="shared" si="253"/>
        <v>0</v>
      </c>
      <c r="N163" s="238">
        <f t="shared" si="253"/>
        <v>7606970</v>
      </c>
      <c r="O163" s="238">
        <f t="shared" si="253"/>
        <v>6520260</v>
      </c>
      <c r="P163" s="238">
        <f t="shared" si="253"/>
        <v>0</v>
      </c>
      <c r="Q163" s="238">
        <f t="shared" si="253"/>
        <v>6520260</v>
      </c>
      <c r="R163" s="238">
        <f t="shared" si="253"/>
        <v>6520260</v>
      </c>
      <c r="S163" s="238">
        <f t="shared" si="253"/>
        <v>0</v>
      </c>
      <c r="T163" s="238">
        <f t="shared" si="253"/>
        <v>6520260</v>
      </c>
      <c r="U163" s="238">
        <f t="shared" si="253"/>
        <v>6520260</v>
      </c>
      <c r="V163" s="238">
        <f t="shared" si="253"/>
        <v>0</v>
      </c>
      <c r="W163" s="238">
        <f t="shared" si="253"/>
        <v>6520260</v>
      </c>
      <c r="X163" s="238">
        <f t="shared" si="253"/>
        <v>6520260</v>
      </c>
      <c r="Y163" s="238">
        <f t="shared" si="253"/>
        <v>0</v>
      </c>
      <c r="Z163" s="238">
        <f t="shared" si="253"/>
        <v>6520260</v>
      </c>
      <c r="AA163" s="238">
        <f t="shared" si="253"/>
        <v>6520260</v>
      </c>
      <c r="AB163" s="238">
        <f t="shared" si="253"/>
        <v>0</v>
      </c>
      <c r="AC163" s="238">
        <f t="shared" si="253"/>
        <v>6520260</v>
      </c>
      <c r="AD163" s="238">
        <f t="shared" si="253"/>
        <v>46728530</v>
      </c>
      <c r="AE163" s="238">
        <f t="shared" si="253"/>
        <v>0</v>
      </c>
      <c r="AF163" s="238">
        <f t="shared" si="253"/>
        <v>46728530</v>
      </c>
      <c r="AG163" s="238">
        <f t="shared" si="253"/>
        <v>20647490</v>
      </c>
      <c r="AH163" s="238">
        <f t="shared" si="253"/>
        <v>0</v>
      </c>
      <c r="AI163" s="238">
        <f t="shared" si="253"/>
        <v>20647490</v>
      </c>
      <c r="AJ163" s="238">
        <f t="shared" si="253"/>
        <v>0</v>
      </c>
      <c r="AK163" s="238">
        <f t="shared" si="253"/>
        <v>0</v>
      </c>
      <c r="AL163" s="238"/>
      <c r="AM163" s="238">
        <f>SUM(AM137,AM142,AM145,AM149,AM152,AM156,AM159)</f>
        <v>0</v>
      </c>
      <c r="AN163" s="238">
        <f>SUM(AN137,AN142,AN145,AN149,AN152,AN156,AN159)</f>
        <v>26081040</v>
      </c>
      <c r="AO163" s="238">
        <f>SUM(AO137,AO142,AO145,AO149,AO152,AO156,AO159)</f>
        <v>0</v>
      </c>
      <c r="AP163" s="238">
        <f>SUM(AP137,AP142,AP145,AP149,AP152,AP156,AP159)</f>
        <v>26081040</v>
      </c>
      <c r="AQ163" s="239">
        <f t="shared" si="219"/>
        <v>0</v>
      </c>
      <c r="AR163" s="48"/>
    </row>
    <row r="164" spans="1:44" s="4" customFormat="1" ht="50.45" customHeight="1">
      <c r="A164" s="419"/>
      <c r="B164" s="35">
        <v>1.4</v>
      </c>
      <c r="C164" s="423" t="s">
        <v>1562</v>
      </c>
      <c r="D164" s="92"/>
      <c r="E164" s="35"/>
      <c r="F164" s="35"/>
      <c r="G164" s="35"/>
      <c r="H164" s="35"/>
      <c r="I164" s="420"/>
      <c r="J164" s="420"/>
      <c r="K164" s="420"/>
      <c r="L164" s="420"/>
      <c r="M164" s="420"/>
      <c r="N164" s="420"/>
      <c r="O164" s="420"/>
      <c r="P164" s="420"/>
      <c r="Q164" s="420"/>
      <c r="R164" s="420"/>
      <c r="S164" s="420"/>
      <c r="T164" s="420"/>
      <c r="U164" s="420"/>
      <c r="V164" s="420"/>
      <c r="W164" s="420"/>
      <c r="X164" s="420"/>
      <c r="Y164" s="420"/>
      <c r="Z164" s="420"/>
      <c r="AA164" s="420"/>
      <c r="AB164" s="420"/>
      <c r="AC164" s="420"/>
      <c r="AD164" s="420"/>
      <c r="AE164" s="420"/>
      <c r="AF164" s="420"/>
      <c r="AG164" s="420"/>
      <c r="AH164" s="420"/>
      <c r="AI164" s="420"/>
      <c r="AJ164" s="420"/>
      <c r="AK164" s="420"/>
      <c r="AL164" s="420"/>
      <c r="AM164" s="420"/>
      <c r="AN164" s="420"/>
      <c r="AO164" s="420"/>
      <c r="AP164" s="420"/>
      <c r="AQ164" s="421"/>
      <c r="AR164" s="48"/>
    </row>
    <row r="165" spans="1:44" s="4" customFormat="1" ht="29.25" customHeight="1">
      <c r="A165" s="419"/>
      <c r="B165" s="35"/>
      <c r="C165" s="424" t="s">
        <v>68</v>
      </c>
      <c r="D165" s="92"/>
      <c r="E165" s="35"/>
      <c r="F165" s="35"/>
      <c r="G165" s="35"/>
      <c r="H165" s="35"/>
      <c r="I165" s="420"/>
      <c r="J165" s="420"/>
      <c r="K165" s="420"/>
      <c r="L165" s="420"/>
      <c r="M165" s="420"/>
      <c r="N165" s="420"/>
      <c r="O165" s="420"/>
      <c r="P165" s="420"/>
      <c r="Q165" s="420"/>
      <c r="R165" s="420"/>
      <c r="S165" s="420"/>
      <c r="T165" s="420"/>
      <c r="U165" s="420"/>
      <c r="V165" s="420"/>
      <c r="W165" s="420"/>
      <c r="X165" s="420"/>
      <c r="Y165" s="420"/>
      <c r="Z165" s="420"/>
      <c r="AA165" s="420"/>
      <c r="AB165" s="420"/>
      <c r="AC165" s="420"/>
      <c r="AD165" s="420"/>
      <c r="AE165" s="420"/>
      <c r="AF165" s="420"/>
      <c r="AG165" s="420"/>
      <c r="AH165" s="420"/>
      <c r="AI165" s="420"/>
      <c r="AJ165" s="420"/>
      <c r="AK165" s="420"/>
      <c r="AL165" s="420"/>
      <c r="AM165" s="420"/>
      <c r="AN165" s="420"/>
      <c r="AO165" s="420"/>
      <c r="AP165" s="420"/>
      <c r="AQ165" s="421"/>
      <c r="AR165" s="48"/>
    </row>
    <row r="166" spans="1:44" s="4" customFormat="1" ht="29.25" customHeight="1" thickBot="1">
      <c r="A166" s="419"/>
      <c r="B166" s="210" t="s">
        <v>518</v>
      </c>
      <c r="C166" s="456" t="s">
        <v>531</v>
      </c>
      <c r="D166" s="217"/>
      <c r="E166" s="366" t="s">
        <v>536</v>
      </c>
      <c r="F166" s="452" t="s">
        <v>286</v>
      </c>
      <c r="G166" s="775">
        <v>2024</v>
      </c>
      <c r="H166" s="775">
        <v>2030</v>
      </c>
      <c r="I166" s="220">
        <f>SUM(I167:I168)</f>
        <v>3260130</v>
      </c>
      <c r="J166" s="220">
        <f>SUM(J167:J168)</f>
        <v>0</v>
      </c>
      <c r="K166" s="220">
        <f t="shared" ref="K166:K178" si="254">SUM(I166:J166)</f>
        <v>3260130</v>
      </c>
      <c r="L166" s="220">
        <f>SUM(L167:L168)</f>
        <v>1086710</v>
      </c>
      <c r="M166" s="220">
        <f>SUM(M167:M168)</f>
        <v>0</v>
      </c>
      <c r="N166" s="220">
        <f t="shared" ref="N166:N178" si="255">SUM(L166:M166)</f>
        <v>1086710</v>
      </c>
      <c r="O166" s="220">
        <f>SUM(O167:O168)</f>
        <v>1086710</v>
      </c>
      <c r="P166" s="220">
        <f>SUM(P167:P168)</f>
        <v>0</v>
      </c>
      <c r="Q166" s="220">
        <f t="shared" ref="Q166:Q178" si="256">SUM(O166:P166)</f>
        <v>1086710</v>
      </c>
      <c r="R166" s="220">
        <f>SUM(R167:R168)</f>
        <v>1086710</v>
      </c>
      <c r="S166" s="220">
        <f>SUM(S167:S168)</f>
        <v>0</v>
      </c>
      <c r="T166" s="220">
        <f t="shared" ref="T166:T178" si="257">SUM(R166:S166)</f>
        <v>1086710</v>
      </c>
      <c r="U166" s="220">
        <f>SUM(U167:U168)</f>
        <v>1086710</v>
      </c>
      <c r="V166" s="220">
        <f>SUM(V167:V168)</f>
        <v>0</v>
      </c>
      <c r="W166" s="220">
        <f t="shared" ref="W166:W178" si="258">SUM(U166:V166)</f>
        <v>1086710</v>
      </c>
      <c r="X166" s="220">
        <f>SUM(X167:X168)</f>
        <v>1086710</v>
      </c>
      <c r="Y166" s="220">
        <f>SUM(Y167:Y168)</f>
        <v>0</v>
      </c>
      <c r="Z166" s="220">
        <f>X166+Y166</f>
        <v>1086710</v>
      </c>
      <c r="AA166" s="220">
        <f>SUM(AA167:AA168)</f>
        <v>1086710</v>
      </c>
      <c r="AB166" s="220">
        <f>SUM(AB167:AB168)</f>
        <v>0</v>
      </c>
      <c r="AC166" s="220">
        <f>AA166+AB166</f>
        <v>1086710</v>
      </c>
      <c r="AD166" s="220">
        <f t="shared" ref="AD166:AD170" si="259">I166+L166+O166+R166+U166+X166+AA166</f>
        <v>9780390</v>
      </c>
      <c r="AE166" s="220">
        <f t="shared" ref="AE166:AE170" si="260">J166+M166+P166+S166+V166+Y166+AB166</f>
        <v>0</v>
      </c>
      <c r="AF166" s="220">
        <f t="shared" ref="AF166:AF178" si="261">SUM(AD166:AE166)</f>
        <v>9780390</v>
      </c>
      <c r="AG166" s="220">
        <f>SUM(AG167:AG168)</f>
        <v>5433550</v>
      </c>
      <c r="AH166" s="220">
        <f>SUM(AH167:AH168)</f>
        <v>0</v>
      </c>
      <c r="AI166" s="220">
        <f t="shared" ref="AI166:AI178" si="262">SUM(AG166:AH166)</f>
        <v>5433550</v>
      </c>
      <c r="AJ166" s="220">
        <f>SUM(AJ167:AJ168)</f>
        <v>0</v>
      </c>
      <c r="AK166" s="220">
        <f>SUM(AK167:AK168)</f>
        <v>0</v>
      </c>
      <c r="AL166" s="220"/>
      <c r="AM166" s="220">
        <f t="shared" ref="AM166:AM178" si="263">AJ166+AK166</f>
        <v>0</v>
      </c>
      <c r="AN166" s="220">
        <f>SUM(AN167:AN168)</f>
        <v>4346840</v>
      </c>
      <c r="AO166" s="220">
        <f>SUM(AO167:AO168)</f>
        <v>0</v>
      </c>
      <c r="AP166" s="220">
        <f t="shared" ref="AP166:AP178" si="264">SUM(AN166:AO166)</f>
        <v>4346840</v>
      </c>
      <c r="AQ166" s="461">
        <f t="shared" si="219"/>
        <v>0</v>
      </c>
      <c r="AR166" s="48"/>
    </row>
    <row r="167" spans="1:44" s="4" customFormat="1" ht="56.45" customHeight="1">
      <c r="A167" s="419"/>
      <c r="B167" s="35" t="s">
        <v>519</v>
      </c>
      <c r="C167" s="337" t="s">
        <v>532</v>
      </c>
      <c r="D167" s="92"/>
      <c r="E167" s="329" t="s">
        <v>69</v>
      </c>
      <c r="F167" s="445"/>
      <c r="G167" s="450" t="s">
        <v>467</v>
      </c>
      <c r="H167" s="450" t="s">
        <v>467</v>
      </c>
      <c r="I167" s="115">
        <v>2173420</v>
      </c>
      <c r="J167" s="115">
        <v>0</v>
      </c>
      <c r="K167" s="293">
        <f t="shared" si="254"/>
        <v>2173420</v>
      </c>
      <c r="L167" s="115">
        <v>0</v>
      </c>
      <c r="M167" s="115">
        <v>0</v>
      </c>
      <c r="N167" s="293">
        <f t="shared" si="255"/>
        <v>0</v>
      </c>
      <c r="O167" s="115">
        <v>0</v>
      </c>
      <c r="P167" s="115">
        <v>0</v>
      </c>
      <c r="Q167" s="293">
        <f t="shared" si="256"/>
        <v>0</v>
      </c>
      <c r="R167" s="115">
        <v>0</v>
      </c>
      <c r="S167" s="115">
        <v>0</v>
      </c>
      <c r="T167" s="426">
        <f t="shared" si="257"/>
        <v>0</v>
      </c>
      <c r="U167" s="115">
        <v>0</v>
      </c>
      <c r="V167" s="115">
        <v>0</v>
      </c>
      <c r="W167" s="293">
        <f t="shared" si="258"/>
        <v>0</v>
      </c>
      <c r="X167" s="115">
        <v>0</v>
      </c>
      <c r="Y167" s="115">
        <v>0</v>
      </c>
      <c r="Z167" s="293">
        <f t="shared" ref="Z167:Z170" si="265">X167+Y167</f>
        <v>0</v>
      </c>
      <c r="AA167" s="115">
        <v>0</v>
      </c>
      <c r="AB167" s="115">
        <v>0</v>
      </c>
      <c r="AC167" s="293">
        <f t="shared" ref="AC167:AC170" si="266">AA167+AB167</f>
        <v>0</v>
      </c>
      <c r="AD167" s="115">
        <f t="shared" si="259"/>
        <v>2173420</v>
      </c>
      <c r="AE167" s="115">
        <f t="shared" si="260"/>
        <v>0</v>
      </c>
      <c r="AF167" s="293">
        <f t="shared" si="261"/>
        <v>2173420</v>
      </c>
      <c r="AG167" s="115">
        <v>2173420</v>
      </c>
      <c r="AH167" s="115">
        <v>0</v>
      </c>
      <c r="AI167" s="293">
        <f t="shared" si="262"/>
        <v>2173420</v>
      </c>
      <c r="AJ167" s="115">
        <v>0</v>
      </c>
      <c r="AK167" s="115">
        <v>0</v>
      </c>
      <c r="AL167" s="115"/>
      <c r="AM167" s="293">
        <f t="shared" si="263"/>
        <v>0</v>
      </c>
      <c r="AN167" s="115">
        <v>0</v>
      </c>
      <c r="AO167" s="115"/>
      <c r="AP167" s="293">
        <f t="shared" si="264"/>
        <v>0</v>
      </c>
      <c r="AQ167" s="717">
        <f t="shared" si="219"/>
        <v>0</v>
      </c>
      <c r="AR167" s="48"/>
    </row>
    <row r="168" spans="1:44" s="4" customFormat="1" ht="29.25" customHeight="1">
      <c r="A168" s="419"/>
      <c r="B168" s="35" t="s">
        <v>520</v>
      </c>
      <c r="C168" s="327" t="s">
        <v>533</v>
      </c>
      <c r="D168" s="92"/>
      <c r="E168" s="330" t="s">
        <v>69</v>
      </c>
      <c r="F168" s="457"/>
      <c r="G168" s="450" t="s">
        <v>467</v>
      </c>
      <c r="H168" s="450" t="s">
        <v>537</v>
      </c>
      <c r="I168" s="115">
        <v>1086710</v>
      </c>
      <c r="J168" s="115">
        <v>0</v>
      </c>
      <c r="K168" s="293">
        <f t="shared" si="254"/>
        <v>1086710</v>
      </c>
      <c r="L168" s="115">
        <v>1086710</v>
      </c>
      <c r="M168" s="115">
        <v>0</v>
      </c>
      <c r="N168" s="293">
        <f t="shared" si="255"/>
        <v>1086710</v>
      </c>
      <c r="O168" s="115">
        <v>1086710</v>
      </c>
      <c r="P168" s="115">
        <v>0</v>
      </c>
      <c r="Q168" s="293">
        <f t="shared" si="256"/>
        <v>1086710</v>
      </c>
      <c r="R168" s="115">
        <v>1086710</v>
      </c>
      <c r="S168" s="115">
        <v>0</v>
      </c>
      <c r="T168" s="426">
        <f t="shared" si="257"/>
        <v>1086710</v>
      </c>
      <c r="U168" s="115">
        <v>1086710</v>
      </c>
      <c r="V168" s="115">
        <v>0</v>
      </c>
      <c r="W168" s="293">
        <f t="shared" si="258"/>
        <v>1086710</v>
      </c>
      <c r="X168" s="115">
        <v>1086710</v>
      </c>
      <c r="Y168" s="115">
        <v>0</v>
      </c>
      <c r="Z168" s="293">
        <f t="shared" si="265"/>
        <v>1086710</v>
      </c>
      <c r="AA168" s="115">
        <v>1086710</v>
      </c>
      <c r="AB168" s="115">
        <v>0</v>
      </c>
      <c r="AC168" s="293">
        <f t="shared" si="266"/>
        <v>1086710</v>
      </c>
      <c r="AD168" s="115">
        <f t="shared" si="259"/>
        <v>7606970</v>
      </c>
      <c r="AE168" s="115">
        <f t="shared" si="260"/>
        <v>0</v>
      </c>
      <c r="AF168" s="293">
        <f t="shared" si="261"/>
        <v>7606970</v>
      </c>
      <c r="AG168" s="115">
        <f>1086710*3</f>
        <v>3260130</v>
      </c>
      <c r="AH168" s="115">
        <v>0</v>
      </c>
      <c r="AI168" s="293">
        <f t="shared" si="262"/>
        <v>3260130</v>
      </c>
      <c r="AJ168" s="115">
        <v>0</v>
      </c>
      <c r="AK168" s="115">
        <v>0</v>
      </c>
      <c r="AL168" s="115"/>
      <c r="AM168" s="293">
        <f t="shared" si="263"/>
        <v>0</v>
      </c>
      <c r="AN168" s="115">
        <f>1086710*4</f>
        <v>4346840</v>
      </c>
      <c r="AO168" s="115">
        <v>0</v>
      </c>
      <c r="AP168" s="293">
        <f t="shared" si="264"/>
        <v>4346840</v>
      </c>
      <c r="AQ168" s="717">
        <f t="shared" si="219"/>
        <v>0</v>
      </c>
      <c r="AR168" s="48"/>
    </row>
    <row r="169" spans="1:44" s="4" customFormat="1" ht="29.25" customHeight="1">
      <c r="A169" s="419"/>
      <c r="B169" s="35" t="s">
        <v>521</v>
      </c>
      <c r="C169" s="327" t="s">
        <v>534</v>
      </c>
      <c r="D169" s="92"/>
      <c r="E169" s="330" t="s">
        <v>69</v>
      </c>
      <c r="F169" s="457" t="s">
        <v>286</v>
      </c>
      <c r="G169" s="450" t="s">
        <v>467</v>
      </c>
      <c r="H169" s="450" t="s">
        <v>537</v>
      </c>
      <c r="I169" s="115">
        <f>4*100000</f>
        <v>400000</v>
      </c>
      <c r="J169" s="115">
        <v>0</v>
      </c>
      <c r="K169" s="293">
        <f t="shared" si="254"/>
        <v>400000</v>
      </c>
      <c r="L169" s="115">
        <f>4*100000</f>
        <v>400000</v>
      </c>
      <c r="M169" s="115">
        <v>0</v>
      </c>
      <c r="N169" s="293">
        <f t="shared" si="255"/>
        <v>400000</v>
      </c>
      <c r="O169" s="115">
        <f>4*100000</f>
        <v>400000</v>
      </c>
      <c r="P169" s="115">
        <v>0</v>
      </c>
      <c r="Q169" s="293">
        <f t="shared" si="256"/>
        <v>400000</v>
      </c>
      <c r="R169" s="115">
        <f>4*100000</f>
        <v>400000</v>
      </c>
      <c r="S169" s="115">
        <v>0</v>
      </c>
      <c r="T169" s="426">
        <f t="shared" si="257"/>
        <v>400000</v>
      </c>
      <c r="U169" s="115">
        <f>4*100000</f>
        <v>400000</v>
      </c>
      <c r="V169" s="115">
        <v>0</v>
      </c>
      <c r="W169" s="293">
        <f t="shared" si="258"/>
        <v>400000</v>
      </c>
      <c r="X169" s="115">
        <f>4*100000</f>
        <v>400000</v>
      </c>
      <c r="Y169" s="115">
        <v>0</v>
      </c>
      <c r="Z169" s="293">
        <f t="shared" si="265"/>
        <v>400000</v>
      </c>
      <c r="AA169" s="115">
        <f>4*100000</f>
        <v>400000</v>
      </c>
      <c r="AB169" s="115">
        <v>0</v>
      </c>
      <c r="AC169" s="293">
        <f t="shared" si="266"/>
        <v>400000</v>
      </c>
      <c r="AD169" s="115">
        <f t="shared" si="259"/>
        <v>2800000</v>
      </c>
      <c r="AE169" s="115">
        <f t="shared" si="260"/>
        <v>0</v>
      </c>
      <c r="AF169" s="293">
        <f t="shared" si="261"/>
        <v>2800000</v>
      </c>
      <c r="AG169" s="115">
        <f>400000*3</f>
        <v>1200000</v>
      </c>
      <c r="AH169" s="115">
        <v>0</v>
      </c>
      <c r="AI169" s="293">
        <f t="shared" si="262"/>
        <v>1200000</v>
      </c>
      <c r="AJ169" s="115">
        <v>0</v>
      </c>
      <c r="AK169" s="115">
        <v>0</v>
      </c>
      <c r="AL169" s="115"/>
      <c r="AM169" s="293">
        <f t="shared" si="263"/>
        <v>0</v>
      </c>
      <c r="AN169" s="115">
        <f>400000*4</f>
        <v>1600000</v>
      </c>
      <c r="AO169" s="115">
        <v>0</v>
      </c>
      <c r="AP169" s="293">
        <f t="shared" si="264"/>
        <v>1600000</v>
      </c>
      <c r="AQ169" s="717">
        <f t="shared" si="219"/>
        <v>0</v>
      </c>
      <c r="AR169" s="48"/>
    </row>
    <row r="170" spans="1:44" s="4" customFormat="1" ht="29.25" customHeight="1" thickBot="1">
      <c r="A170" s="419"/>
      <c r="B170" s="35" t="s">
        <v>522</v>
      </c>
      <c r="C170" s="338" t="s">
        <v>535</v>
      </c>
      <c r="D170" s="92"/>
      <c r="E170" s="434" t="s">
        <v>536</v>
      </c>
      <c r="F170" s="457"/>
      <c r="G170" s="450" t="s">
        <v>467</v>
      </c>
      <c r="H170" s="450" t="s">
        <v>537</v>
      </c>
      <c r="I170" s="115">
        <v>0</v>
      </c>
      <c r="J170" s="115">
        <v>0</v>
      </c>
      <c r="K170" s="293">
        <f t="shared" si="254"/>
        <v>0</v>
      </c>
      <c r="L170" s="115">
        <v>0</v>
      </c>
      <c r="M170" s="115">
        <v>0</v>
      </c>
      <c r="N170" s="293">
        <f t="shared" si="255"/>
        <v>0</v>
      </c>
      <c r="O170" s="115">
        <v>0</v>
      </c>
      <c r="P170" s="115">
        <v>0</v>
      </c>
      <c r="Q170" s="293">
        <f t="shared" si="256"/>
        <v>0</v>
      </c>
      <c r="R170" s="115">
        <v>0</v>
      </c>
      <c r="S170" s="115">
        <v>0</v>
      </c>
      <c r="T170" s="426">
        <f t="shared" si="257"/>
        <v>0</v>
      </c>
      <c r="U170" s="115">
        <v>0</v>
      </c>
      <c r="V170" s="115">
        <v>0</v>
      </c>
      <c r="W170" s="293">
        <f t="shared" si="258"/>
        <v>0</v>
      </c>
      <c r="X170" s="115">
        <v>0</v>
      </c>
      <c r="Y170" s="115">
        <v>0</v>
      </c>
      <c r="Z170" s="293">
        <f t="shared" si="265"/>
        <v>0</v>
      </c>
      <c r="AA170" s="115">
        <v>0</v>
      </c>
      <c r="AB170" s="115">
        <v>0</v>
      </c>
      <c r="AC170" s="293">
        <f t="shared" si="266"/>
        <v>0</v>
      </c>
      <c r="AD170" s="115">
        <f t="shared" si="259"/>
        <v>0</v>
      </c>
      <c r="AE170" s="115">
        <f t="shared" si="260"/>
        <v>0</v>
      </c>
      <c r="AF170" s="293">
        <f t="shared" si="261"/>
        <v>0</v>
      </c>
      <c r="AG170" s="115">
        <v>0</v>
      </c>
      <c r="AH170" s="115">
        <v>0</v>
      </c>
      <c r="AI170" s="293">
        <f t="shared" si="262"/>
        <v>0</v>
      </c>
      <c r="AJ170" s="115">
        <v>0</v>
      </c>
      <c r="AK170" s="115">
        <v>0</v>
      </c>
      <c r="AL170" s="115"/>
      <c r="AM170" s="293">
        <f t="shared" si="263"/>
        <v>0</v>
      </c>
      <c r="AN170" s="115">
        <v>0</v>
      </c>
      <c r="AO170" s="115">
        <v>0</v>
      </c>
      <c r="AP170" s="293">
        <f t="shared" si="264"/>
        <v>0</v>
      </c>
      <c r="AQ170" s="717">
        <f t="shared" si="219"/>
        <v>0</v>
      </c>
      <c r="AR170" s="48"/>
    </row>
    <row r="171" spans="1:44" s="4" customFormat="1" ht="29.25" customHeight="1" thickBot="1">
      <c r="A171" s="419"/>
      <c r="B171" s="210" t="s">
        <v>523</v>
      </c>
      <c r="C171" s="462" t="s">
        <v>538</v>
      </c>
      <c r="D171" s="217"/>
      <c r="E171" s="440" t="s">
        <v>541</v>
      </c>
      <c r="F171" s="452"/>
      <c r="G171" s="775" t="s">
        <v>468</v>
      </c>
      <c r="H171" s="775">
        <v>2030</v>
      </c>
      <c r="I171" s="220">
        <f>SUM(I172:I173)</f>
        <v>0</v>
      </c>
      <c r="J171" s="220">
        <f>SUM(J172:J173)</f>
        <v>0</v>
      </c>
      <c r="K171" s="220">
        <f t="shared" si="254"/>
        <v>0</v>
      </c>
      <c r="L171" s="220">
        <f>SUM(L172:L173)</f>
        <v>1086710</v>
      </c>
      <c r="M171" s="220">
        <f>SUM(M172:M173)</f>
        <v>0</v>
      </c>
      <c r="N171" s="220">
        <f t="shared" si="255"/>
        <v>1086710</v>
      </c>
      <c r="O171" s="220">
        <f>SUM(O172:O173)</f>
        <v>0</v>
      </c>
      <c r="P171" s="220">
        <f>SUM(P172:P173)</f>
        <v>0</v>
      </c>
      <c r="Q171" s="220">
        <f t="shared" si="256"/>
        <v>0</v>
      </c>
      <c r="R171" s="220">
        <f>SUM(R172:R173)</f>
        <v>0</v>
      </c>
      <c r="S171" s="220">
        <f>SUM(S172:S173)</f>
        <v>0</v>
      </c>
      <c r="T171" s="220">
        <f t="shared" ref="T171" si="267">SUM(R171:S171)</f>
        <v>0</v>
      </c>
      <c r="U171" s="220">
        <f>SUM(U172:U173)</f>
        <v>0</v>
      </c>
      <c r="V171" s="220">
        <f>SUM(V172:V173)</f>
        <v>0</v>
      </c>
      <c r="W171" s="220">
        <f t="shared" ref="W171" si="268">SUM(U171:V171)</f>
        <v>0</v>
      </c>
      <c r="X171" s="220">
        <f>SUM(X172:X173)</f>
        <v>0</v>
      </c>
      <c r="Y171" s="220">
        <f>SUM(Y172:Y173)</f>
        <v>0</v>
      </c>
      <c r="Z171" s="220">
        <f t="shared" ref="Z171:Z173" si="269">X171+Y171</f>
        <v>0</v>
      </c>
      <c r="AA171" s="220">
        <f>SUM(AA172:AA173)</f>
        <v>0</v>
      </c>
      <c r="AB171" s="220">
        <f>SUM(AB172:AB173)</f>
        <v>0</v>
      </c>
      <c r="AC171" s="220">
        <f t="shared" ref="AC171:AC173" si="270">AA171+AB171</f>
        <v>0</v>
      </c>
      <c r="AD171" s="220">
        <f t="shared" ref="AD171:AD178" si="271">I171+L171+O171+R171+U171+X171+AA171</f>
        <v>1086710</v>
      </c>
      <c r="AE171" s="220">
        <f t="shared" ref="AE171:AE178" si="272">J171+M171+P171+S171+V171+Y171+AB171</f>
        <v>0</v>
      </c>
      <c r="AF171" s="220">
        <f t="shared" ref="AF171" si="273">SUM(AD171:AE171)</f>
        <v>1086710</v>
      </c>
      <c r="AG171" s="220">
        <f>SUM(AG172:AG173)</f>
        <v>1086710</v>
      </c>
      <c r="AH171" s="220">
        <f>SUM(AH172:AH173)</f>
        <v>0</v>
      </c>
      <c r="AI171" s="220">
        <f t="shared" ref="AI171" si="274">SUM(AG171:AH171)</f>
        <v>1086710</v>
      </c>
      <c r="AJ171" s="220">
        <f>SUM(AJ172:AJ173)</f>
        <v>0</v>
      </c>
      <c r="AK171" s="220">
        <f>SUM(AK172:AK173)</f>
        <v>0</v>
      </c>
      <c r="AL171" s="220"/>
      <c r="AM171" s="220">
        <f t="shared" ref="AM171" si="275">AJ171+AK171</f>
        <v>0</v>
      </c>
      <c r="AN171" s="220">
        <f>SUM(AN172:AN173)</f>
        <v>0</v>
      </c>
      <c r="AO171" s="220">
        <f>SUM(AO172:AO173)</f>
        <v>0</v>
      </c>
      <c r="AP171" s="220">
        <f t="shared" ref="AP171" si="276">SUM(AN171:AO171)</f>
        <v>0</v>
      </c>
      <c r="AQ171" s="461">
        <f t="shared" ref="AQ171" si="277">SUM(AP171+AM171+AI171)-AF171</f>
        <v>0</v>
      </c>
      <c r="AR171" s="48"/>
    </row>
    <row r="172" spans="1:44" s="4" customFormat="1" ht="72.599999999999994" customHeight="1">
      <c r="A172" s="419"/>
      <c r="B172" s="35" t="s">
        <v>524</v>
      </c>
      <c r="C172" s="463" t="s">
        <v>539</v>
      </c>
      <c r="D172" s="92"/>
      <c r="E172" s="329" t="s">
        <v>541</v>
      </c>
      <c r="F172" s="455"/>
      <c r="G172" s="450" t="s">
        <v>468</v>
      </c>
      <c r="H172" s="450" t="s">
        <v>468</v>
      </c>
      <c r="I172" s="115">
        <v>0</v>
      </c>
      <c r="J172" s="115">
        <v>0</v>
      </c>
      <c r="K172" s="293">
        <f t="shared" si="254"/>
        <v>0</v>
      </c>
      <c r="L172" s="115">
        <v>1086710</v>
      </c>
      <c r="M172" s="115">
        <v>0</v>
      </c>
      <c r="N172" s="293">
        <f t="shared" si="255"/>
        <v>1086710</v>
      </c>
      <c r="O172" s="115">
        <v>0</v>
      </c>
      <c r="P172" s="115">
        <v>0</v>
      </c>
      <c r="Q172" s="293">
        <f t="shared" si="256"/>
        <v>0</v>
      </c>
      <c r="R172" s="115">
        <v>0</v>
      </c>
      <c r="S172" s="115">
        <v>0</v>
      </c>
      <c r="T172" s="426">
        <f t="shared" si="257"/>
        <v>0</v>
      </c>
      <c r="U172" s="115">
        <v>0</v>
      </c>
      <c r="V172" s="115">
        <v>0</v>
      </c>
      <c r="W172" s="293">
        <f t="shared" si="258"/>
        <v>0</v>
      </c>
      <c r="X172" s="115">
        <v>0</v>
      </c>
      <c r="Y172" s="115">
        <v>0</v>
      </c>
      <c r="Z172" s="293">
        <f t="shared" si="269"/>
        <v>0</v>
      </c>
      <c r="AA172" s="115">
        <v>0</v>
      </c>
      <c r="AB172" s="115">
        <v>0</v>
      </c>
      <c r="AC172" s="293">
        <f t="shared" si="270"/>
        <v>0</v>
      </c>
      <c r="AD172" s="115">
        <f t="shared" si="271"/>
        <v>1086710</v>
      </c>
      <c r="AE172" s="115">
        <f t="shared" si="272"/>
        <v>0</v>
      </c>
      <c r="AF172" s="293">
        <f t="shared" si="261"/>
        <v>1086710</v>
      </c>
      <c r="AG172" s="115">
        <v>1086710</v>
      </c>
      <c r="AH172" s="115">
        <v>0</v>
      </c>
      <c r="AI172" s="293">
        <f t="shared" si="262"/>
        <v>1086710</v>
      </c>
      <c r="AJ172" s="115">
        <v>0</v>
      </c>
      <c r="AK172" s="115">
        <v>0</v>
      </c>
      <c r="AL172" s="115"/>
      <c r="AM172" s="293">
        <f t="shared" si="263"/>
        <v>0</v>
      </c>
      <c r="AN172" s="115">
        <v>0</v>
      </c>
      <c r="AO172" s="115">
        <v>0</v>
      </c>
      <c r="AP172" s="293">
        <f t="shared" si="264"/>
        <v>0</v>
      </c>
      <c r="AQ172" s="717">
        <f t="shared" si="219"/>
        <v>0</v>
      </c>
      <c r="AR172" s="48"/>
    </row>
    <row r="173" spans="1:44" s="4" customFormat="1" ht="29.25" customHeight="1" thickBot="1">
      <c r="A173" s="419"/>
      <c r="B173" s="35" t="s">
        <v>525</v>
      </c>
      <c r="C173" s="327" t="s">
        <v>540</v>
      </c>
      <c r="D173" s="92"/>
      <c r="E173" s="434" t="s">
        <v>541</v>
      </c>
      <c r="F173" s="455"/>
      <c r="G173" s="450" t="s">
        <v>468</v>
      </c>
      <c r="H173" s="450" t="s">
        <v>537</v>
      </c>
      <c r="I173" s="115">
        <v>0</v>
      </c>
      <c r="J173" s="115">
        <v>0</v>
      </c>
      <c r="K173" s="293">
        <f t="shared" si="254"/>
        <v>0</v>
      </c>
      <c r="L173" s="115">
        <v>0</v>
      </c>
      <c r="M173" s="115">
        <v>0</v>
      </c>
      <c r="N173" s="293">
        <f t="shared" si="255"/>
        <v>0</v>
      </c>
      <c r="O173" s="115">
        <v>0</v>
      </c>
      <c r="P173" s="115">
        <v>0</v>
      </c>
      <c r="Q173" s="293">
        <f t="shared" si="256"/>
        <v>0</v>
      </c>
      <c r="R173" s="115">
        <v>0</v>
      </c>
      <c r="S173" s="115">
        <v>0</v>
      </c>
      <c r="T173" s="426">
        <f t="shared" si="257"/>
        <v>0</v>
      </c>
      <c r="U173" s="115">
        <v>0</v>
      </c>
      <c r="V173" s="115">
        <v>0</v>
      </c>
      <c r="W173" s="293">
        <f t="shared" si="258"/>
        <v>0</v>
      </c>
      <c r="X173" s="115">
        <v>0</v>
      </c>
      <c r="Y173" s="115">
        <v>0</v>
      </c>
      <c r="Z173" s="293">
        <f t="shared" si="269"/>
        <v>0</v>
      </c>
      <c r="AA173" s="115">
        <v>0</v>
      </c>
      <c r="AB173" s="115">
        <v>0</v>
      </c>
      <c r="AC173" s="293">
        <f t="shared" si="270"/>
        <v>0</v>
      </c>
      <c r="AD173" s="115">
        <f t="shared" si="271"/>
        <v>0</v>
      </c>
      <c r="AE173" s="115">
        <f t="shared" si="272"/>
        <v>0</v>
      </c>
      <c r="AF173" s="293">
        <f t="shared" si="261"/>
        <v>0</v>
      </c>
      <c r="AG173" s="115">
        <v>0</v>
      </c>
      <c r="AH173" s="115">
        <v>0</v>
      </c>
      <c r="AI173" s="293">
        <f t="shared" si="262"/>
        <v>0</v>
      </c>
      <c r="AJ173" s="115">
        <v>0</v>
      </c>
      <c r="AK173" s="115">
        <v>0</v>
      </c>
      <c r="AL173" s="115"/>
      <c r="AM173" s="293">
        <f t="shared" si="263"/>
        <v>0</v>
      </c>
      <c r="AN173" s="115">
        <v>0</v>
      </c>
      <c r="AO173" s="115">
        <v>0</v>
      </c>
      <c r="AP173" s="293">
        <f t="shared" si="264"/>
        <v>0</v>
      </c>
      <c r="AQ173" s="717">
        <f t="shared" si="219"/>
        <v>0</v>
      </c>
      <c r="AR173" s="48"/>
    </row>
    <row r="174" spans="1:44" s="4" customFormat="1" ht="29.25" customHeight="1" thickBot="1">
      <c r="A174" s="419"/>
      <c r="B174" s="210" t="s">
        <v>526</v>
      </c>
      <c r="C174" s="456" t="s">
        <v>542</v>
      </c>
      <c r="D174" s="217"/>
      <c r="E174" s="440" t="s">
        <v>547</v>
      </c>
      <c r="F174" s="441" t="s">
        <v>69</v>
      </c>
      <c r="G174" s="775">
        <v>2024</v>
      </c>
      <c r="H174" s="775">
        <v>2030</v>
      </c>
      <c r="I174" s="220">
        <f>SUM(I175:I178)</f>
        <v>4340130</v>
      </c>
      <c r="J174" s="220">
        <f>SUM(J175:J178)</f>
        <v>0</v>
      </c>
      <c r="K174" s="220">
        <f t="shared" si="254"/>
        <v>4340130</v>
      </c>
      <c r="L174" s="220">
        <f t="shared" ref="L174:M174" si="278">SUM(L175:L178)</f>
        <v>4340130</v>
      </c>
      <c r="M174" s="220">
        <f t="shared" si="278"/>
        <v>0</v>
      </c>
      <c r="N174" s="220">
        <f t="shared" si="255"/>
        <v>4340130</v>
      </c>
      <c r="O174" s="220">
        <f t="shared" ref="O174:P174" si="279">SUM(O175:O178)</f>
        <v>3253420</v>
      </c>
      <c r="P174" s="220">
        <f t="shared" si="279"/>
        <v>0</v>
      </c>
      <c r="Q174" s="220">
        <f t="shared" si="256"/>
        <v>3253420</v>
      </c>
      <c r="R174" s="220">
        <f t="shared" ref="R174:S174" si="280">SUM(R175:R178)</f>
        <v>3253420</v>
      </c>
      <c r="S174" s="220">
        <f t="shared" si="280"/>
        <v>0</v>
      </c>
      <c r="T174" s="220">
        <f t="shared" ref="T174" si="281">SUM(R174:S174)</f>
        <v>3253420</v>
      </c>
      <c r="U174" s="220">
        <f t="shared" ref="U174:V174" si="282">SUM(U175:U178)</f>
        <v>3253420</v>
      </c>
      <c r="V174" s="220">
        <f t="shared" si="282"/>
        <v>0</v>
      </c>
      <c r="W174" s="220">
        <f t="shared" ref="W174" si="283">SUM(U174:V174)</f>
        <v>3253420</v>
      </c>
      <c r="X174" s="220">
        <f t="shared" ref="X174:Y174" si="284">SUM(X175:X178)</f>
        <v>3253420</v>
      </c>
      <c r="Y174" s="220">
        <f t="shared" si="284"/>
        <v>0</v>
      </c>
      <c r="Z174" s="220">
        <f t="shared" ref="Z174:Z178" si="285">X174+Y174</f>
        <v>3253420</v>
      </c>
      <c r="AA174" s="220">
        <f t="shared" ref="AA174:AB174" si="286">SUM(AA175:AA178)</f>
        <v>3253420</v>
      </c>
      <c r="AB174" s="220">
        <f t="shared" si="286"/>
        <v>0</v>
      </c>
      <c r="AC174" s="220">
        <f t="shared" ref="AC174:AC178" si="287">AA174+AB174</f>
        <v>3253420</v>
      </c>
      <c r="AD174" s="220">
        <f t="shared" ref="AD174" si="288">I174+L174+O174+R174+U174+X174+AA174</f>
        <v>24947360</v>
      </c>
      <c r="AE174" s="220">
        <f t="shared" ref="AE174" si="289">J174+M174+P174+S174+V174+Y174+AB174</f>
        <v>0</v>
      </c>
      <c r="AF174" s="220">
        <f t="shared" ref="AF174" si="290">SUM(AD174:AE174)</f>
        <v>24947360</v>
      </c>
      <c r="AG174" s="220">
        <f t="shared" ref="AG174:AH174" si="291">SUM(AG175:AG178)</f>
        <v>11933680</v>
      </c>
      <c r="AH174" s="220">
        <f t="shared" si="291"/>
        <v>0</v>
      </c>
      <c r="AI174" s="220">
        <f t="shared" ref="AI174" si="292">SUM(AG174:AH174)</f>
        <v>11933680</v>
      </c>
      <c r="AJ174" s="220">
        <f t="shared" ref="AJ174:AK174" si="293">SUM(AJ175:AJ178)</f>
        <v>0</v>
      </c>
      <c r="AK174" s="220">
        <f t="shared" si="293"/>
        <v>0</v>
      </c>
      <c r="AL174" s="220"/>
      <c r="AM174" s="220">
        <f t="shared" ref="AM174" si="294">AJ174+AK174</f>
        <v>0</v>
      </c>
      <c r="AN174" s="220">
        <f t="shared" ref="AN174:AO174" si="295">SUM(AN175:AN178)</f>
        <v>13013680</v>
      </c>
      <c r="AO174" s="220">
        <f t="shared" si="295"/>
        <v>0</v>
      </c>
      <c r="AP174" s="220">
        <f t="shared" ref="AP174" si="296">SUM(AN174:AO174)</f>
        <v>13013680</v>
      </c>
      <c r="AQ174" s="461">
        <f t="shared" ref="AQ174" si="297">SUM(AP174+AM174+AI174)-AF174</f>
        <v>0</v>
      </c>
      <c r="AR174" s="48"/>
    </row>
    <row r="175" spans="1:44" s="4" customFormat="1" ht="29.25" customHeight="1">
      <c r="A175" s="419"/>
      <c r="B175" s="35" t="s">
        <v>527</v>
      </c>
      <c r="C175" s="458" t="s">
        <v>543</v>
      </c>
      <c r="D175" s="92"/>
      <c r="E175" s="329" t="s">
        <v>547</v>
      </c>
      <c r="F175" s="334" t="s">
        <v>69</v>
      </c>
      <c r="G175" s="772">
        <v>2024</v>
      </c>
      <c r="H175" s="772">
        <v>2025</v>
      </c>
      <c r="I175" s="115">
        <v>1086710</v>
      </c>
      <c r="J175" s="115"/>
      <c r="K175" s="293">
        <f t="shared" si="254"/>
        <v>1086710</v>
      </c>
      <c r="L175" s="115">
        <v>1086710</v>
      </c>
      <c r="M175" s="115">
        <v>0</v>
      </c>
      <c r="N175" s="293">
        <f t="shared" si="255"/>
        <v>1086710</v>
      </c>
      <c r="O175" s="115">
        <v>0</v>
      </c>
      <c r="P175" s="115">
        <v>0</v>
      </c>
      <c r="Q175" s="293">
        <f t="shared" si="256"/>
        <v>0</v>
      </c>
      <c r="R175" s="115">
        <v>0</v>
      </c>
      <c r="S175" s="115">
        <v>0</v>
      </c>
      <c r="T175" s="426">
        <f t="shared" si="257"/>
        <v>0</v>
      </c>
      <c r="U175" s="115">
        <v>0</v>
      </c>
      <c r="V175" s="115">
        <v>0</v>
      </c>
      <c r="W175" s="293">
        <f t="shared" si="258"/>
        <v>0</v>
      </c>
      <c r="X175" s="115">
        <v>0</v>
      </c>
      <c r="Y175" s="115">
        <v>0</v>
      </c>
      <c r="Z175" s="293">
        <f t="shared" si="285"/>
        <v>0</v>
      </c>
      <c r="AA175" s="115">
        <v>0</v>
      </c>
      <c r="AB175" s="115">
        <v>0</v>
      </c>
      <c r="AC175" s="293">
        <f t="shared" si="287"/>
        <v>0</v>
      </c>
      <c r="AD175" s="115">
        <f t="shared" si="271"/>
        <v>2173420</v>
      </c>
      <c r="AE175" s="115">
        <f t="shared" si="272"/>
        <v>0</v>
      </c>
      <c r="AF175" s="293">
        <f t="shared" si="261"/>
        <v>2173420</v>
      </c>
      <c r="AG175" s="115">
        <v>2173420</v>
      </c>
      <c r="AH175" s="115">
        <v>0</v>
      </c>
      <c r="AI175" s="293">
        <f t="shared" si="262"/>
        <v>2173420</v>
      </c>
      <c r="AJ175" s="115">
        <v>0</v>
      </c>
      <c r="AK175" s="115">
        <v>0</v>
      </c>
      <c r="AL175" s="115"/>
      <c r="AM175" s="293">
        <f t="shared" si="263"/>
        <v>0</v>
      </c>
      <c r="AN175" s="115">
        <v>0</v>
      </c>
      <c r="AO175" s="115">
        <v>0</v>
      </c>
      <c r="AP175" s="293">
        <f t="shared" si="264"/>
        <v>0</v>
      </c>
      <c r="AQ175" s="717">
        <f t="shared" si="219"/>
        <v>0</v>
      </c>
      <c r="AR175" s="48"/>
    </row>
    <row r="176" spans="1:44" s="4" customFormat="1" ht="29.25" customHeight="1">
      <c r="A176" s="419"/>
      <c r="B176" s="35" t="s">
        <v>528</v>
      </c>
      <c r="C176" s="459" t="s">
        <v>544</v>
      </c>
      <c r="D176" s="92"/>
      <c r="E176" s="330" t="s">
        <v>547</v>
      </c>
      <c r="F176" s="335" t="s">
        <v>69</v>
      </c>
      <c r="G176" s="773">
        <v>2024</v>
      </c>
      <c r="H176" s="773">
        <v>2030</v>
      </c>
      <c r="I176" s="115">
        <v>0</v>
      </c>
      <c r="J176" s="115">
        <v>0</v>
      </c>
      <c r="K176" s="293">
        <f t="shared" si="254"/>
        <v>0</v>
      </c>
      <c r="L176" s="115">
        <v>0</v>
      </c>
      <c r="M176" s="115">
        <v>0</v>
      </c>
      <c r="N176" s="293">
        <f t="shared" si="255"/>
        <v>0</v>
      </c>
      <c r="O176" s="115">
        <v>0</v>
      </c>
      <c r="P176" s="115">
        <v>0</v>
      </c>
      <c r="Q176" s="293">
        <f t="shared" si="256"/>
        <v>0</v>
      </c>
      <c r="R176" s="115">
        <v>0</v>
      </c>
      <c r="S176" s="115">
        <v>0</v>
      </c>
      <c r="T176" s="426">
        <f t="shared" si="257"/>
        <v>0</v>
      </c>
      <c r="U176" s="115">
        <v>0</v>
      </c>
      <c r="V176" s="115">
        <v>0</v>
      </c>
      <c r="W176" s="293">
        <f t="shared" si="258"/>
        <v>0</v>
      </c>
      <c r="X176" s="115">
        <v>0</v>
      </c>
      <c r="Y176" s="115">
        <v>0</v>
      </c>
      <c r="Z176" s="293">
        <f t="shared" si="285"/>
        <v>0</v>
      </c>
      <c r="AA176" s="115">
        <v>0</v>
      </c>
      <c r="AB176" s="115">
        <v>0</v>
      </c>
      <c r="AC176" s="293">
        <f t="shared" si="287"/>
        <v>0</v>
      </c>
      <c r="AD176" s="115">
        <f t="shared" si="271"/>
        <v>0</v>
      </c>
      <c r="AE176" s="115">
        <f t="shared" si="272"/>
        <v>0</v>
      </c>
      <c r="AF176" s="293">
        <f t="shared" si="261"/>
        <v>0</v>
      </c>
      <c r="AG176" s="115">
        <v>0</v>
      </c>
      <c r="AH176" s="115">
        <v>0</v>
      </c>
      <c r="AI176" s="293">
        <f t="shared" si="262"/>
        <v>0</v>
      </c>
      <c r="AJ176" s="115">
        <v>0</v>
      </c>
      <c r="AK176" s="115">
        <v>0</v>
      </c>
      <c r="AL176" s="115"/>
      <c r="AM176" s="293">
        <f t="shared" si="263"/>
        <v>0</v>
      </c>
      <c r="AN176" s="115">
        <v>0</v>
      </c>
      <c r="AO176" s="115">
        <v>0</v>
      </c>
      <c r="AP176" s="293">
        <f t="shared" si="264"/>
        <v>0</v>
      </c>
      <c r="AQ176" s="717">
        <f t="shared" si="219"/>
        <v>0</v>
      </c>
      <c r="AR176" s="48"/>
    </row>
    <row r="177" spans="1:44" s="4" customFormat="1" ht="29.25" customHeight="1">
      <c r="A177" s="419"/>
      <c r="B177" s="35" t="s">
        <v>529</v>
      </c>
      <c r="C177" s="459" t="s">
        <v>545</v>
      </c>
      <c r="D177" s="92"/>
      <c r="E177" s="330" t="s">
        <v>547</v>
      </c>
      <c r="F177" s="335" t="s">
        <v>69</v>
      </c>
      <c r="G177" s="773">
        <v>2024</v>
      </c>
      <c r="H177" s="773">
        <v>2030</v>
      </c>
      <c r="I177" s="115">
        <f>2*20*3*9000</f>
        <v>1080000</v>
      </c>
      <c r="J177" s="115">
        <v>0</v>
      </c>
      <c r="K177" s="293">
        <f t="shared" si="254"/>
        <v>1080000</v>
      </c>
      <c r="L177" s="115">
        <f>2*20*3*9000</f>
        <v>1080000</v>
      </c>
      <c r="M177" s="115">
        <v>0</v>
      </c>
      <c r="N177" s="293">
        <f t="shared" si="255"/>
        <v>1080000</v>
      </c>
      <c r="O177" s="115">
        <f>2*20*3*9000</f>
        <v>1080000</v>
      </c>
      <c r="P177" s="115">
        <v>0</v>
      </c>
      <c r="Q177" s="293">
        <f t="shared" si="256"/>
        <v>1080000</v>
      </c>
      <c r="R177" s="115">
        <f>2*20*3*9000</f>
        <v>1080000</v>
      </c>
      <c r="S177" s="115">
        <v>0</v>
      </c>
      <c r="T177" s="426">
        <f t="shared" si="257"/>
        <v>1080000</v>
      </c>
      <c r="U177" s="115">
        <f>2*20*3*9000</f>
        <v>1080000</v>
      </c>
      <c r="V177" s="115">
        <v>0</v>
      </c>
      <c r="W177" s="293">
        <f t="shared" si="258"/>
        <v>1080000</v>
      </c>
      <c r="X177" s="115">
        <f>2*20*3*9000</f>
        <v>1080000</v>
      </c>
      <c r="Y177" s="115">
        <v>0</v>
      </c>
      <c r="Z177" s="293">
        <f t="shared" si="285"/>
        <v>1080000</v>
      </c>
      <c r="AA177" s="115">
        <f>2*20*3*9000</f>
        <v>1080000</v>
      </c>
      <c r="AB177" s="115">
        <v>0</v>
      </c>
      <c r="AC177" s="293">
        <f t="shared" si="287"/>
        <v>1080000</v>
      </c>
      <c r="AD177" s="115">
        <f t="shared" si="271"/>
        <v>7560000</v>
      </c>
      <c r="AE177" s="115">
        <f t="shared" si="272"/>
        <v>0</v>
      </c>
      <c r="AF177" s="293">
        <f t="shared" si="261"/>
        <v>7560000</v>
      </c>
      <c r="AG177" s="115">
        <f>1080000*3</f>
        <v>3240000</v>
      </c>
      <c r="AH177" s="115">
        <v>0</v>
      </c>
      <c r="AI177" s="293">
        <f t="shared" si="262"/>
        <v>3240000</v>
      </c>
      <c r="AJ177" s="115">
        <v>0</v>
      </c>
      <c r="AK177" s="115">
        <v>0</v>
      </c>
      <c r="AL177" s="115"/>
      <c r="AM177" s="293">
        <f t="shared" si="263"/>
        <v>0</v>
      </c>
      <c r="AN177" s="115">
        <f>1080000*4</f>
        <v>4320000</v>
      </c>
      <c r="AO177" s="115">
        <v>0</v>
      </c>
      <c r="AP177" s="293">
        <f t="shared" si="264"/>
        <v>4320000</v>
      </c>
      <c r="AQ177" s="717">
        <f t="shared" si="219"/>
        <v>0</v>
      </c>
      <c r="AR177" s="48"/>
    </row>
    <row r="178" spans="1:44" s="4" customFormat="1" ht="28.9" customHeight="1" thickBot="1">
      <c r="A178" s="419"/>
      <c r="B178" s="35" t="s">
        <v>530</v>
      </c>
      <c r="C178" s="460" t="s">
        <v>546</v>
      </c>
      <c r="D178" s="92"/>
      <c r="E178" s="434" t="s">
        <v>547</v>
      </c>
      <c r="F178" s="336" t="s">
        <v>69</v>
      </c>
      <c r="G178" s="774">
        <v>2024</v>
      </c>
      <c r="H178" s="774">
        <v>2030</v>
      </c>
      <c r="I178" s="115">
        <v>2173420</v>
      </c>
      <c r="J178" s="115">
        <v>0</v>
      </c>
      <c r="K178" s="293">
        <f t="shared" si="254"/>
        <v>2173420</v>
      </c>
      <c r="L178" s="115">
        <v>2173420</v>
      </c>
      <c r="M178" s="115">
        <v>0</v>
      </c>
      <c r="N178" s="293">
        <f t="shared" si="255"/>
        <v>2173420</v>
      </c>
      <c r="O178" s="115">
        <v>2173420</v>
      </c>
      <c r="P178" s="115">
        <v>0</v>
      </c>
      <c r="Q178" s="293">
        <f t="shared" si="256"/>
        <v>2173420</v>
      </c>
      <c r="R178" s="115">
        <v>2173420</v>
      </c>
      <c r="S178" s="115">
        <v>0</v>
      </c>
      <c r="T178" s="426">
        <f t="shared" si="257"/>
        <v>2173420</v>
      </c>
      <c r="U178" s="115">
        <v>2173420</v>
      </c>
      <c r="V178" s="115">
        <v>0</v>
      </c>
      <c r="W178" s="293">
        <f t="shared" si="258"/>
        <v>2173420</v>
      </c>
      <c r="X178" s="115">
        <v>2173420</v>
      </c>
      <c r="Y178" s="115">
        <v>0</v>
      </c>
      <c r="Z178" s="293">
        <f t="shared" si="285"/>
        <v>2173420</v>
      </c>
      <c r="AA178" s="115">
        <v>2173420</v>
      </c>
      <c r="AB178" s="115">
        <v>0</v>
      </c>
      <c r="AC178" s="293">
        <f t="shared" si="287"/>
        <v>2173420</v>
      </c>
      <c r="AD178" s="115">
        <f t="shared" si="271"/>
        <v>15213940</v>
      </c>
      <c r="AE178" s="115">
        <f t="shared" si="272"/>
        <v>0</v>
      </c>
      <c r="AF178" s="293">
        <f t="shared" si="261"/>
        <v>15213940</v>
      </c>
      <c r="AG178" s="115">
        <f>2173420*3</f>
        <v>6520260</v>
      </c>
      <c r="AH178" s="115">
        <v>0</v>
      </c>
      <c r="AI178" s="293">
        <f t="shared" si="262"/>
        <v>6520260</v>
      </c>
      <c r="AJ178" s="115">
        <v>0</v>
      </c>
      <c r="AK178" s="115">
        <v>0</v>
      </c>
      <c r="AL178" s="115"/>
      <c r="AM178" s="293">
        <f t="shared" si="263"/>
        <v>0</v>
      </c>
      <c r="AN178" s="115">
        <f>2173420*4</f>
        <v>8693680</v>
      </c>
      <c r="AO178" s="115">
        <v>0</v>
      </c>
      <c r="AP178" s="293">
        <f t="shared" si="264"/>
        <v>8693680</v>
      </c>
      <c r="AQ178" s="717">
        <f t="shared" si="219"/>
        <v>0</v>
      </c>
      <c r="AR178" s="48"/>
    </row>
    <row r="179" spans="1:44" s="4" customFormat="1" ht="29.25" customHeight="1">
      <c r="A179" s="419"/>
      <c r="B179" s="210"/>
      <c r="C179" s="454" t="s">
        <v>548</v>
      </c>
      <c r="D179" s="217"/>
      <c r="E179" s="366"/>
      <c r="F179" s="452"/>
      <c r="G179" s="453"/>
      <c r="H179" s="453"/>
      <c r="I179" s="238">
        <f>SUM(I166,I171,I174)</f>
        <v>7600260</v>
      </c>
      <c r="J179" s="238">
        <f t="shared" ref="J179:AK179" si="298">SUM(J166,J171,J174)</f>
        <v>0</v>
      </c>
      <c r="K179" s="238">
        <f t="shared" si="298"/>
        <v>7600260</v>
      </c>
      <c r="L179" s="238">
        <f t="shared" si="298"/>
        <v>6513550</v>
      </c>
      <c r="M179" s="238">
        <f t="shared" si="298"/>
        <v>0</v>
      </c>
      <c r="N179" s="238">
        <f t="shared" si="298"/>
        <v>6513550</v>
      </c>
      <c r="O179" s="238">
        <f t="shared" si="298"/>
        <v>4340130</v>
      </c>
      <c r="P179" s="238">
        <f t="shared" si="298"/>
        <v>0</v>
      </c>
      <c r="Q179" s="238">
        <f t="shared" si="298"/>
        <v>4340130</v>
      </c>
      <c r="R179" s="238">
        <f t="shared" si="298"/>
        <v>4340130</v>
      </c>
      <c r="S179" s="238">
        <f t="shared" si="298"/>
        <v>0</v>
      </c>
      <c r="T179" s="238">
        <f t="shared" si="298"/>
        <v>4340130</v>
      </c>
      <c r="U179" s="238">
        <f t="shared" si="298"/>
        <v>4340130</v>
      </c>
      <c r="V179" s="238">
        <f t="shared" si="298"/>
        <v>0</v>
      </c>
      <c r="W179" s="238">
        <f t="shared" si="298"/>
        <v>4340130</v>
      </c>
      <c r="X179" s="238">
        <f t="shared" si="298"/>
        <v>4340130</v>
      </c>
      <c r="Y179" s="238">
        <f t="shared" si="298"/>
        <v>0</v>
      </c>
      <c r="Z179" s="238">
        <f t="shared" si="298"/>
        <v>4340130</v>
      </c>
      <c r="AA179" s="238">
        <f t="shared" si="298"/>
        <v>4340130</v>
      </c>
      <c r="AB179" s="238">
        <f t="shared" si="298"/>
        <v>0</v>
      </c>
      <c r="AC179" s="238">
        <f t="shared" si="298"/>
        <v>4340130</v>
      </c>
      <c r="AD179" s="238">
        <f t="shared" si="298"/>
        <v>35814460</v>
      </c>
      <c r="AE179" s="238">
        <f t="shared" si="298"/>
        <v>0</v>
      </c>
      <c r="AF179" s="238">
        <f t="shared" si="298"/>
        <v>35814460</v>
      </c>
      <c r="AG179" s="238">
        <f t="shared" si="298"/>
        <v>18453940</v>
      </c>
      <c r="AH179" s="238">
        <f t="shared" si="298"/>
        <v>0</v>
      </c>
      <c r="AI179" s="238">
        <f t="shared" si="298"/>
        <v>18453940</v>
      </c>
      <c r="AJ179" s="238">
        <f t="shared" si="298"/>
        <v>0</v>
      </c>
      <c r="AK179" s="238">
        <f t="shared" si="298"/>
        <v>0</v>
      </c>
      <c r="AL179" s="238"/>
      <c r="AM179" s="238">
        <f t="shared" ref="AM179:AQ179" si="299">SUM(AM166,AM171,AM174)</f>
        <v>0</v>
      </c>
      <c r="AN179" s="238">
        <f t="shared" si="299"/>
        <v>17360520</v>
      </c>
      <c r="AO179" s="238">
        <f t="shared" si="299"/>
        <v>0</v>
      </c>
      <c r="AP179" s="238">
        <f t="shared" si="299"/>
        <v>17360520</v>
      </c>
      <c r="AQ179" s="461">
        <f t="shared" si="299"/>
        <v>0</v>
      </c>
      <c r="AR179" s="48"/>
    </row>
    <row r="180" spans="1:44" s="4" customFormat="1" ht="33" customHeight="1">
      <c r="A180" s="429"/>
      <c r="B180" s="210"/>
      <c r="C180" s="857" t="s">
        <v>549</v>
      </c>
      <c r="D180" s="858"/>
      <c r="E180" s="210"/>
      <c r="F180" s="210"/>
      <c r="G180" s="210"/>
      <c r="H180" s="210"/>
      <c r="I180" s="238">
        <f>SUM(I113,I135,I163,I179)</f>
        <v>75682860</v>
      </c>
      <c r="J180" s="238">
        <f t="shared" ref="J180:AK180" si="300">SUM(J113,J135,J163,J179)</f>
        <v>0</v>
      </c>
      <c r="K180" s="238">
        <f t="shared" si="300"/>
        <v>70249310</v>
      </c>
      <c r="L180" s="238">
        <f t="shared" si="300"/>
        <v>117529815.2</v>
      </c>
      <c r="M180" s="238">
        <f t="shared" si="300"/>
        <v>0</v>
      </c>
      <c r="N180" s="238">
        <f t="shared" si="300"/>
        <v>117529815.2</v>
      </c>
      <c r="O180" s="238">
        <f t="shared" si="300"/>
        <v>76109180</v>
      </c>
      <c r="P180" s="238">
        <f t="shared" si="300"/>
        <v>0</v>
      </c>
      <c r="Q180" s="238">
        <f t="shared" si="300"/>
        <v>76109180</v>
      </c>
      <c r="R180" s="238">
        <f t="shared" si="300"/>
        <v>46441560</v>
      </c>
      <c r="S180" s="238">
        <f t="shared" si="300"/>
        <v>0</v>
      </c>
      <c r="T180" s="238">
        <f t="shared" si="300"/>
        <v>46441560</v>
      </c>
      <c r="U180" s="238">
        <f t="shared" si="300"/>
        <v>38728010</v>
      </c>
      <c r="V180" s="238">
        <f t="shared" si="300"/>
        <v>0</v>
      </c>
      <c r="W180" s="238">
        <f t="shared" si="300"/>
        <v>38728010</v>
      </c>
      <c r="X180" s="238">
        <f t="shared" si="300"/>
        <v>38728010</v>
      </c>
      <c r="Y180" s="238">
        <f t="shared" si="300"/>
        <v>0</v>
      </c>
      <c r="Z180" s="238">
        <f t="shared" si="300"/>
        <v>38728010</v>
      </c>
      <c r="AA180" s="238">
        <f t="shared" si="300"/>
        <v>36328010</v>
      </c>
      <c r="AB180" s="238">
        <f t="shared" si="300"/>
        <v>0</v>
      </c>
      <c r="AC180" s="238">
        <f t="shared" si="300"/>
        <v>36328010</v>
      </c>
      <c r="AD180" s="238">
        <f t="shared" si="300"/>
        <v>429547445.19999999</v>
      </c>
      <c r="AE180" s="238">
        <f t="shared" si="300"/>
        <v>0</v>
      </c>
      <c r="AF180" s="238">
        <f t="shared" si="300"/>
        <v>429547445.19999999</v>
      </c>
      <c r="AG180" s="238">
        <f t="shared" si="300"/>
        <v>266921855.19999999</v>
      </c>
      <c r="AH180" s="238">
        <f t="shared" si="300"/>
        <v>0</v>
      </c>
      <c r="AI180" s="238">
        <f t="shared" si="300"/>
        <v>266921855.19999999</v>
      </c>
      <c r="AJ180" s="238">
        <f t="shared" si="300"/>
        <v>0</v>
      </c>
      <c r="AK180" s="238">
        <f t="shared" si="300"/>
        <v>0</v>
      </c>
      <c r="AL180" s="238"/>
      <c r="AM180" s="238">
        <f t="shared" ref="AM180:AQ180" si="301">SUM(AM113,AM135,AM163,AM179)</f>
        <v>0</v>
      </c>
      <c r="AN180" s="238">
        <f t="shared" si="301"/>
        <v>160225590</v>
      </c>
      <c r="AO180" s="238">
        <f t="shared" si="301"/>
        <v>0</v>
      </c>
      <c r="AP180" s="238">
        <f t="shared" si="301"/>
        <v>160225590</v>
      </c>
      <c r="AQ180" s="239">
        <f t="shared" si="301"/>
        <v>-2400000</v>
      </c>
      <c r="AR180" s="49">
        <f>AQ180/AF180</f>
        <v>-5.5872756940331583E-3</v>
      </c>
    </row>
    <row r="181" spans="1:44" ht="31.15" customHeight="1" thickBot="1">
      <c r="B181" s="840" t="s">
        <v>550</v>
      </c>
      <c r="C181" s="841"/>
      <c r="D181" s="841"/>
      <c r="E181" s="841"/>
      <c r="F181" s="841"/>
      <c r="G181" s="841"/>
      <c r="H181" s="841"/>
      <c r="I181" s="841"/>
      <c r="J181" s="841"/>
      <c r="K181" s="841"/>
      <c r="L181" s="841"/>
      <c r="M181" s="841"/>
      <c r="N181" s="841"/>
      <c r="O181" s="841"/>
      <c r="P181" s="841"/>
      <c r="Q181" s="841"/>
      <c r="R181" s="841"/>
      <c r="S181" s="841"/>
      <c r="T181" s="841"/>
      <c r="U181" s="841"/>
      <c r="V181" s="841"/>
      <c r="W181" s="841"/>
      <c r="X181" s="841"/>
      <c r="Y181" s="841"/>
      <c r="Z181" s="841"/>
      <c r="AA181" s="841"/>
      <c r="AB181" s="841"/>
      <c r="AC181" s="841"/>
      <c r="AD181" s="841"/>
      <c r="AE181" s="841"/>
      <c r="AF181" s="841"/>
      <c r="AG181" s="841"/>
      <c r="AH181" s="841"/>
      <c r="AI181" s="841"/>
      <c r="AJ181" s="841"/>
      <c r="AK181" s="841"/>
      <c r="AL181" s="841"/>
      <c r="AM181" s="841"/>
      <c r="AN181" s="841"/>
      <c r="AO181" s="841"/>
      <c r="AP181" s="841"/>
      <c r="AQ181" s="842"/>
      <c r="AR181" s="47"/>
    </row>
    <row r="182" spans="1:44" ht="30.6" customHeight="1" thickBot="1">
      <c r="A182" s="4"/>
      <c r="B182" s="848" t="s">
        <v>551</v>
      </c>
      <c r="C182" s="849"/>
      <c r="D182" s="849"/>
      <c r="E182" s="849"/>
      <c r="F182" s="849"/>
      <c r="G182" s="849"/>
      <c r="H182" s="849"/>
      <c r="I182" s="849"/>
      <c r="J182" s="849"/>
      <c r="K182" s="849"/>
      <c r="L182" s="849"/>
      <c r="M182" s="849"/>
      <c r="N182" s="849"/>
      <c r="O182" s="849"/>
      <c r="P182" s="849"/>
      <c r="Q182" s="849"/>
      <c r="R182" s="849"/>
      <c r="S182" s="849"/>
      <c r="T182" s="849"/>
      <c r="U182" s="849"/>
      <c r="V182" s="849"/>
      <c r="W182" s="849"/>
      <c r="X182" s="849"/>
      <c r="Y182" s="849"/>
      <c r="Z182" s="849"/>
      <c r="AA182" s="849"/>
      <c r="AB182" s="849"/>
      <c r="AC182" s="849"/>
      <c r="AD182" s="849"/>
      <c r="AE182" s="849"/>
      <c r="AF182" s="849"/>
      <c r="AG182" s="849"/>
      <c r="AH182" s="849"/>
      <c r="AI182" s="849"/>
      <c r="AJ182" s="849"/>
      <c r="AK182" s="849"/>
      <c r="AL182" s="849"/>
      <c r="AM182" s="849"/>
      <c r="AN182" s="849"/>
      <c r="AO182" s="849"/>
      <c r="AP182" s="849"/>
      <c r="AQ182" s="850"/>
      <c r="AR182" s="47"/>
    </row>
    <row r="183" spans="1:44" ht="45.6" customHeight="1">
      <c r="A183" s="4"/>
      <c r="B183" s="871" t="s">
        <v>0</v>
      </c>
      <c r="C183" s="871" t="s">
        <v>51</v>
      </c>
      <c r="D183" s="871" t="s">
        <v>1</v>
      </c>
      <c r="E183" s="871" t="s">
        <v>86</v>
      </c>
      <c r="F183" s="871"/>
      <c r="G183" s="871" t="s">
        <v>54</v>
      </c>
      <c r="H183" s="871"/>
      <c r="I183" s="820" t="s">
        <v>57</v>
      </c>
      <c r="J183" s="820"/>
      <c r="K183" s="820"/>
      <c r="L183" s="820" t="s">
        <v>58</v>
      </c>
      <c r="M183" s="820"/>
      <c r="N183" s="820"/>
      <c r="O183" s="820" t="s">
        <v>93</v>
      </c>
      <c r="P183" s="859"/>
      <c r="Q183" s="859"/>
      <c r="R183" s="851" t="s">
        <v>183</v>
      </c>
      <c r="S183" s="851"/>
      <c r="T183" s="851"/>
      <c r="U183" s="851" t="s">
        <v>182</v>
      </c>
      <c r="V183" s="851"/>
      <c r="W183" s="851"/>
      <c r="X183" s="851" t="s">
        <v>181</v>
      </c>
      <c r="Y183" s="851"/>
      <c r="Z183" s="851"/>
      <c r="AA183" s="851" t="s">
        <v>180</v>
      </c>
      <c r="AB183" s="851"/>
      <c r="AC183" s="851"/>
      <c r="AD183" s="851" t="s">
        <v>59</v>
      </c>
      <c r="AE183" s="859"/>
      <c r="AF183" s="859"/>
      <c r="AG183" s="820" t="s">
        <v>60</v>
      </c>
      <c r="AH183" s="820"/>
      <c r="AI183" s="820"/>
      <c r="AJ183" s="820"/>
      <c r="AK183" s="820"/>
      <c r="AL183" s="820"/>
      <c r="AM183" s="820"/>
      <c r="AN183" s="820" t="s">
        <v>65</v>
      </c>
      <c r="AO183" s="860"/>
      <c r="AP183" s="860"/>
      <c r="AQ183" s="820" t="s">
        <v>66</v>
      </c>
      <c r="AR183" s="47"/>
    </row>
    <row r="184" spans="1:44" ht="31.15" customHeight="1">
      <c r="A184" s="4"/>
      <c r="B184" s="837"/>
      <c r="C184" s="837"/>
      <c r="D184" s="837"/>
      <c r="E184" s="830" t="s">
        <v>52</v>
      </c>
      <c r="F184" s="830" t="s">
        <v>53</v>
      </c>
      <c r="G184" s="833" t="s">
        <v>55</v>
      </c>
      <c r="H184" s="833" t="s">
        <v>55</v>
      </c>
      <c r="I184" s="821"/>
      <c r="J184" s="821"/>
      <c r="K184" s="821"/>
      <c r="L184" s="821"/>
      <c r="M184" s="821"/>
      <c r="N184" s="821"/>
      <c r="O184" s="827"/>
      <c r="P184" s="827"/>
      <c r="Q184" s="827"/>
      <c r="R184" s="847"/>
      <c r="S184" s="847"/>
      <c r="T184" s="847"/>
      <c r="U184" s="847"/>
      <c r="V184" s="847"/>
      <c r="W184" s="847"/>
      <c r="X184" s="847"/>
      <c r="Y184" s="847"/>
      <c r="Z184" s="847"/>
      <c r="AA184" s="847"/>
      <c r="AB184" s="847"/>
      <c r="AC184" s="847"/>
      <c r="AD184" s="827"/>
      <c r="AE184" s="827"/>
      <c r="AF184" s="827"/>
      <c r="AG184" s="821" t="s">
        <v>184</v>
      </c>
      <c r="AH184" s="854"/>
      <c r="AI184" s="854"/>
      <c r="AJ184" s="821" t="s">
        <v>62</v>
      </c>
      <c r="AK184" s="853"/>
      <c r="AL184" s="853"/>
      <c r="AM184" s="853"/>
      <c r="AN184" s="819" t="s">
        <v>185</v>
      </c>
      <c r="AO184" s="819"/>
      <c r="AP184" s="819"/>
      <c r="AQ184" s="821"/>
      <c r="AR184" s="47"/>
    </row>
    <row r="185" spans="1:44" ht="52.9" customHeight="1" thickBot="1">
      <c r="B185" s="838"/>
      <c r="C185" s="838"/>
      <c r="D185" s="838"/>
      <c r="E185" s="852"/>
      <c r="F185" s="852"/>
      <c r="G185" s="834"/>
      <c r="H185" s="834"/>
      <c r="I185" s="89" t="s">
        <v>32</v>
      </c>
      <c r="J185" s="89" t="s">
        <v>33</v>
      </c>
      <c r="K185" s="89" t="s">
        <v>67</v>
      </c>
      <c r="L185" s="89" t="s">
        <v>32</v>
      </c>
      <c r="M185" s="89" t="s">
        <v>33</v>
      </c>
      <c r="N185" s="89" t="s">
        <v>67</v>
      </c>
      <c r="O185" s="89" t="s">
        <v>32</v>
      </c>
      <c r="P185" s="89" t="s">
        <v>33</v>
      </c>
      <c r="Q185" s="89" t="s">
        <v>67</v>
      </c>
      <c r="R185" s="89" t="s">
        <v>32</v>
      </c>
      <c r="S185" s="89" t="s">
        <v>33</v>
      </c>
      <c r="T185" s="89" t="s">
        <v>67</v>
      </c>
      <c r="U185" s="89" t="s">
        <v>32</v>
      </c>
      <c r="V185" s="89" t="s">
        <v>33</v>
      </c>
      <c r="W185" s="89" t="s">
        <v>67</v>
      </c>
      <c r="X185" s="89" t="s">
        <v>32</v>
      </c>
      <c r="Y185" s="89" t="s">
        <v>33</v>
      </c>
      <c r="Z185" s="89" t="s">
        <v>67</v>
      </c>
      <c r="AA185" s="89" t="s">
        <v>32</v>
      </c>
      <c r="AB185" s="89" t="s">
        <v>33</v>
      </c>
      <c r="AC185" s="89" t="s">
        <v>67</v>
      </c>
      <c r="AD185" s="89" t="s">
        <v>32</v>
      </c>
      <c r="AE185" s="89" t="s">
        <v>33</v>
      </c>
      <c r="AF185" s="89" t="s">
        <v>67</v>
      </c>
      <c r="AG185" s="89" t="s">
        <v>32</v>
      </c>
      <c r="AH185" s="89" t="s">
        <v>33</v>
      </c>
      <c r="AI185" s="89" t="s">
        <v>61</v>
      </c>
      <c r="AJ185" s="89" t="s">
        <v>32</v>
      </c>
      <c r="AK185" s="89" t="s">
        <v>33</v>
      </c>
      <c r="AL185" s="89" t="s">
        <v>63</v>
      </c>
      <c r="AM185" s="89" t="s">
        <v>64</v>
      </c>
      <c r="AN185" s="89" t="s">
        <v>32</v>
      </c>
      <c r="AO185" s="89" t="s">
        <v>33</v>
      </c>
      <c r="AP185" s="89" t="s">
        <v>67</v>
      </c>
      <c r="AQ185" s="89"/>
      <c r="AR185" s="47"/>
    </row>
    <row r="186" spans="1:44" ht="78" customHeight="1">
      <c r="B186" s="55">
        <v>2.1</v>
      </c>
      <c r="C186" s="845" t="s">
        <v>553</v>
      </c>
      <c r="D186" s="846"/>
      <c r="E186" s="90"/>
      <c r="F186" s="90"/>
      <c r="G186" s="51"/>
      <c r="H186" s="51"/>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7"/>
      <c r="AI186" s="57"/>
      <c r="AJ186" s="57"/>
      <c r="AK186" s="57"/>
      <c r="AL186" s="57"/>
      <c r="AM186" s="57"/>
      <c r="AN186" s="57"/>
      <c r="AO186" s="57"/>
      <c r="AP186" s="57"/>
      <c r="AQ186" s="91"/>
      <c r="AR186" s="47"/>
    </row>
    <row r="187" spans="1:44" ht="23.45" customHeight="1">
      <c r="B187" s="61"/>
      <c r="C187" s="62" t="s">
        <v>68</v>
      </c>
      <c r="D187" s="92"/>
      <c r="E187" s="93"/>
      <c r="F187" s="93"/>
      <c r="G187" s="35"/>
      <c r="H187" s="35"/>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94"/>
      <c r="AR187" s="47"/>
    </row>
    <row r="188" spans="1:44" ht="83.45" customHeight="1">
      <c r="B188" s="182" t="s">
        <v>3</v>
      </c>
      <c r="C188" s="267" t="s">
        <v>552</v>
      </c>
      <c r="D188" s="206"/>
      <c r="E188" s="192" t="s">
        <v>560</v>
      </c>
      <c r="F188" s="186" t="s">
        <v>98</v>
      </c>
      <c r="G188" s="207">
        <v>2024</v>
      </c>
      <c r="H188" s="195">
        <v>2030</v>
      </c>
      <c r="I188" s="190">
        <f>SUM(I189:I193)</f>
        <v>9780390</v>
      </c>
      <c r="J188" s="190">
        <f>SUM(J189:J193)</f>
        <v>0</v>
      </c>
      <c r="K188" s="190">
        <f>I188+J188</f>
        <v>9780390</v>
      </c>
      <c r="L188" s="190">
        <f>SUM(L189:L193)</f>
        <v>10867100</v>
      </c>
      <c r="M188" s="190">
        <f>SUM(M189:M193)</f>
        <v>0</v>
      </c>
      <c r="N188" s="190">
        <f>L188+M188</f>
        <v>10867100</v>
      </c>
      <c r="O188" s="190">
        <f>SUM(O189:O193)</f>
        <v>7606970</v>
      </c>
      <c r="P188" s="190">
        <f>SUM(P189:P193)</f>
        <v>0</v>
      </c>
      <c r="Q188" s="190">
        <f t="shared" ref="Q188:Q230" si="302">SUM(O188:P188)</f>
        <v>7606970</v>
      </c>
      <c r="R188" s="190">
        <f>SUM(R189:R193)</f>
        <v>7606970</v>
      </c>
      <c r="S188" s="190">
        <f>SUM(S189:S193)</f>
        <v>0</v>
      </c>
      <c r="T188" s="190">
        <f t="shared" ref="T188:T230" si="303">SUM(R188:S188)</f>
        <v>7606970</v>
      </c>
      <c r="U188" s="190">
        <f>SUM(U189:U193)</f>
        <v>7606970</v>
      </c>
      <c r="V188" s="190">
        <f>SUM(V189:V193)</f>
        <v>0</v>
      </c>
      <c r="W188" s="190">
        <f>U188+V188</f>
        <v>7606970</v>
      </c>
      <c r="X188" s="190">
        <f>SUM(X189:X193)</f>
        <v>7606970</v>
      </c>
      <c r="Y188" s="190">
        <f>SUM(Y189:Y193)</f>
        <v>0</v>
      </c>
      <c r="Z188" s="190">
        <f t="shared" ref="Z188:Z193" si="304">X188+Y188</f>
        <v>7606970</v>
      </c>
      <c r="AA188" s="190">
        <f>SUM(AA189:AA193)</f>
        <v>7606970</v>
      </c>
      <c r="AB188" s="190">
        <f>SUM(AB189:AB193)</f>
        <v>0</v>
      </c>
      <c r="AC188" s="190">
        <f t="shared" ref="AC188:AC193" si="305">AA188+AB188</f>
        <v>7606970</v>
      </c>
      <c r="AD188" s="190">
        <f t="shared" ref="AD188:AD230" si="306">I188+L188+O188+R188+U188+X188+AA188</f>
        <v>58682340</v>
      </c>
      <c r="AE188" s="190">
        <f t="shared" ref="AE188:AE230" si="307">J188+M188+P188+S188+V188+Y188+AB188</f>
        <v>0</v>
      </c>
      <c r="AF188" s="190">
        <f>AD188+AE188</f>
        <v>58682340</v>
      </c>
      <c r="AG188" s="190">
        <f>SUM(AG189:AG193)</f>
        <v>28254460</v>
      </c>
      <c r="AH188" s="190">
        <f>SUM(AH189:AH193)</f>
        <v>0</v>
      </c>
      <c r="AI188" s="190">
        <f>AG188+AH188</f>
        <v>28254460</v>
      </c>
      <c r="AJ188" s="190">
        <f>SUM(AJ189:AJ193)</f>
        <v>0</v>
      </c>
      <c r="AK188" s="190">
        <f>SUM(AK189:AK193)</f>
        <v>0</v>
      </c>
      <c r="AL188" s="197"/>
      <c r="AM188" s="197">
        <f>AJ188+AK188</f>
        <v>0</v>
      </c>
      <c r="AN188" s="190">
        <f>SUM(AN189:AN193)</f>
        <v>30427880</v>
      </c>
      <c r="AO188" s="190">
        <f>SUM(AO189:AO193)</f>
        <v>0</v>
      </c>
      <c r="AP188" s="197">
        <f>AN188+AO188</f>
        <v>30427880</v>
      </c>
      <c r="AQ188" s="193">
        <f>SUM(AP188,AM188,AI188)-AF188</f>
        <v>0</v>
      </c>
      <c r="AR188" s="47"/>
    </row>
    <row r="189" spans="1:44" ht="83.45" customHeight="1">
      <c r="B189" s="61" t="s">
        <v>119</v>
      </c>
      <c r="C189" s="337" t="s">
        <v>554</v>
      </c>
      <c r="D189" s="96"/>
      <c r="E189" s="120" t="s">
        <v>559</v>
      </c>
      <c r="F189" s="1" t="s">
        <v>98</v>
      </c>
      <c r="G189" s="449" t="s">
        <v>561</v>
      </c>
      <c r="H189" s="449" t="s">
        <v>561</v>
      </c>
      <c r="I189" s="8">
        <v>0</v>
      </c>
      <c r="J189" s="7">
        <v>0</v>
      </c>
      <c r="K189" s="257">
        <f>SUM(I189:J189)</f>
        <v>0</v>
      </c>
      <c r="L189" s="8">
        <v>3260130</v>
      </c>
      <c r="M189" s="7">
        <v>0</v>
      </c>
      <c r="N189" s="257">
        <f>SUM(L189:M189)</f>
        <v>3260130</v>
      </c>
      <c r="O189" s="8">
        <v>0</v>
      </c>
      <c r="P189" s="64">
        <v>0</v>
      </c>
      <c r="Q189" s="257">
        <f t="shared" si="302"/>
        <v>0</v>
      </c>
      <c r="R189" s="8">
        <v>0</v>
      </c>
      <c r="S189" s="64">
        <v>0</v>
      </c>
      <c r="T189" s="257">
        <f t="shared" si="303"/>
        <v>0</v>
      </c>
      <c r="U189" s="8">
        <v>0</v>
      </c>
      <c r="V189" s="64">
        <v>0</v>
      </c>
      <c r="W189" s="257">
        <f>SUM(U189:V189)</f>
        <v>0</v>
      </c>
      <c r="X189" s="64">
        <v>0</v>
      </c>
      <c r="Y189" s="64">
        <v>0</v>
      </c>
      <c r="Z189" s="257">
        <f t="shared" si="304"/>
        <v>0</v>
      </c>
      <c r="AA189" s="64">
        <v>0</v>
      </c>
      <c r="AB189" s="64">
        <v>0</v>
      </c>
      <c r="AC189" s="257">
        <f t="shared" si="305"/>
        <v>0</v>
      </c>
      <c r="AD189" s="8">
        <f t="shared" si="306"/>
        <v>3260130</v>
      </c>
      <c r="AE189" s="8">
        <f t="shared" si="307"/>
        <v>0</v>
      </c>
      <c r="AF189" s="257">
        <f>SUM(AD189:AE189)</f>
        <v>3260130</v>
      </c>
      <c r="AG189" s="8">
        <v>3260130</v>
      </c>
      <c r="AH189" s="64">
        <v>0</v>
      </c>
      <c r="AI189" s="257">
        <f>SUM(AG189:AH189)</f>
        <v>3260130</v>
      </c>
      <c r="AJ189" s="8">
        <v>0</v>
      </c>
      <c r="AK189" s="64">
        <v>0</v>
      </c>
      <c r="AL189" s="83"/>
      <c r="AM189" s="264">
        <f>AJ189+AK189</f>
        <v>0</v>
      </c>
      <c r="AN189" s="83">
        <v>0</v>
      </c>
      <c r="AO189" s="83">
        <f t="shared" ref="AO189:AO192" si="308">SUM(AO190:AO194)</f>
        <v>0</v>
      </c>
      <c r="AP189" s="264">
        <f>SUM(AN189:AO189)</f>
        <v>0</v>
      </c>
      <c r="AQ189" s="69">
        <f t="shared" ref="AQ189:AQ230" si="309">SUM(AP189+AM189+AI189)-AF189</f>
        <v>0</v>
      </c>
      <c r="AR189" s="47"/>
    </row>
    <row r="190" spans="1:44" ht="57.6" customHeight="1">
      <c r="B190" s="61" t="s">
        <v>120</v>
      </c>
      <c r="C190" s="327" t="s">
        <v>555</v>
      </c>
      <c r="D190" s="96"/>
      <c r="E190" s="120" t="s">
        <v>370</v>
      </c>
      <c r="F190" s="1"/>
      <c r="G190" s="425">
        <v>2024</v>
      </c>
      <c r="H190" s="425">
        <v>2024</v>
      </c>
      <c r="I190" s="8">
        <v>2173420</v>
      </c>
      <c r="J190" s="7">
        <v>0</v>
      </c>
      <c r="K190" s="257">
        <f>SUM(I190:J190)</f>
        <v>2173420</v>
      </c>
      <c r="L190" s="8">
        <v>0</v>
      </c>
      <c r="M190" s="7">
        <v>0</v>
      </c>
      <c r="N190" s="257">
        <f>SUM(L190:M190)</f>
        <v>0</v>
      </c>
      <c r="O190" s="8">
        <v>0</v>
      </c>
      <c r="P190" s="64">
        <v>0</v>
      </c>
      <c r="Q190" s="257">
        <f t="shared" si="302"/>
        <v>0</v>
      </c>
      <c r="R190" s="8">
        <v>0</v>
      </c>
      <c r="S190" s="64">
        <v>0</v>
      </c>
      <c r="T190" s="257">
        <f t="shared" si="303"/>
        <v>0</v>
      </c>
      <c r="U190" s="8">
        <v>0</v>
      </c>
      <c r="V190" s="64">
        <v>0</v>
      </c>
      <c r="W190" s="257">
        <f>SUM(U190:V190)</f>
        <v>0</v>
      </c>
      <c r="X190" s="64">
        <v>0</v>
      </c>
      <c r="Y190" s="64">
        <v>0</v>
      </c>
      <c r="Z190" s="257">
        <f t="shared" si="304"/>
        <v>0</v>
      </c>
      <c r="AA190" s="64">
        <v>0</v>
      </c>
      <c r="AB190" s="64">
        <v>0</v>
      </c>
      <c r="AC190" s="257">
        <f t="shared" si="305"/>
        <v>0</v>
      </c>
      <c r="AD190" s="8">
        <f t="shared" si="306"/>
        <v>2173420</v>
      </c>
      <c r="AE190" s="8">
        <f t="shared" si="307"/>
        <v>0</v>
      </c>
      <c r="AF190" s="257">
        <f t="shared" ref="AF190:AF193" si="310">SUM(AD190:AE190)</f>
        <v>2173420</v>
      </c>
      <c r="AG190" s="8">
        <v>2173420</v>
      </c>
      <c r="AH190" s="64">
        <v>0</v>
      </c>
      <c r="AI190" s="257">
        <f>SUM(AG190:AH190)</f>
        <v>2173420</v>
      </c>
      <c r="AJ190" s="8">
        <v>0</v>
      </c>
      <c r="AK190" s="64">
        <v>0</v>
      </c>
      <c r="AL190" s="83"/>
      <c r="AM190" s="264">
        <f>AJ190+AK190</f>
        <v>0</v>
      </c>
      <c r="AN190" s="83">
        <v>0</v>
      </c>
      <c r="AO190" s="83">
        <f t="shared" si="308"/>
        <v>0</v>
      </c>
      <c r="AP190" s="264">
        <f t="shared" ref="AP190:AP193" si="311">SUM(AN190:AO190)</f>
        <v>0</v>
      </c>
      <c r="AQ190" s="69">
        <f>SUM(AP190+AM190+AI190)-AF190</f>
        <v>0</v>
      </c>
      <c r="AR190" s="47"/>
    </row>
    <row r="191" spans="1:44" ht="69.599999999999994" customHeight="1">
      <c r="B191" s="61" t="s">
        <v>121</v>
      </c>
      <c r="C191" s="327" t="s">
        <v>556</v>
      </c>
      <c r="D191" s="96"/>
      <c r="E191" s="120" t="s">
        <v>541</v>
      </c>
      <c r="F191" s="1"/>
      <c r="G191" s="425" t="s">
        <v>467</v>
      </c>
      <c r="H191" s="425" t="s">
        <v>537</v>
      </c>
      <c r="I191" s="8">
        <v>2173420</v>
      </c>
      <c r="J191" s="7">
        <v>0</v>
      </c>
      <c r="K191" s="257">
        <f>SUM(I191:J191)</f>
        <v>2173420</v>
      </c>
      <c r="L191" s="8">
        <v>2173420</v>
      </c>
      <c r="M191" s="7">
        <v>0</v>
      </c>
      <c r="N191" s="257">
        <f>SUM(L191:M191)</f>
        <v>2173420</v>
      </c>
      <c r="O191" s="8">
        <v>2173420</v>
      </c>
      <c r="P191" s="7">
        <v>0</v>
      </c>
      <c r="Q191" s="257">
        <f t="shared" si="302"/>
        <v>2173420</v>
      </c>
      <c r="R191" s="8">
        <v>2173420</v>
      </c>
      <c r="S191" s="7">
        <v>0</v>
      </c>
      <c r="T191" s="257">
        <f t="shared" si="303"/>
        <v>2173420</v>
      </c>
      <c r="U191" s="8">
        <v>2173420</v>
      </c>
      <c r="V191" s="64">
        <v>0</v>
      </c>
      <c r="W191" s="257">
        <f>SUM(U191:V191)</f>
        <v>2173420</v>
      </c>
      <c r="X191" s="64">
        <v>2173420</v>
      </c>
      <c r="Y191" s="64">
        <v>0</v>
      </c>
      <c r="Z191" s="257">
        <f t="shared" si="304"/>
        <v>2173420</v>
      </c>
      <c r="AA191" s="64">
        <v>2173420</v>
      </c>
      <c r="AB191" s="64">
        <v>0</v>
      </c>
      <c r="AC191" s="257">
        <f t="shared" si="305"/>
        <v>2173420</v>
      </c>
      <c r="AD191" s="8">
        <f t="shared" si="306"/>
        <v>15213940</v>
      </c>
      <c r="AE191" s="8">
        <f t="shared" si="307"/>
        <v>0</v>
      </c>
      <c r="AF191" s="257">
        <f t="shared" si="310"/>
        <v>15213940</v>
      </c>
      <c r="AG191" s="8">
        <f>2173420*3</f>
        <v>6520260</v>
      </c>
      <c r="AH191" s="64">
        <v>0</v>
      </c>
      <c r="AI191" s="257">
        <f>SUM(AG191:AH191)</f>
        <v>6520260</v>
      </c>
      <c r="AJ191" s="8">
        <v>0</v>
      </c>
      <c r="AK191" s="64">
        <v>0</v>
      </c>
      <c r="AL191" s="83"/>
      <c r="AM191" s="264">
        <f>AJ191+AK191</f>
        <v>0</v>
      </c>
      <c r="AN191" s="83">
        <f>2173420*4</f>
        <v>8693680</v>
      </c>
      <c r="AO191" s="83">
        <f t="shared" si="308"/>
        <v>0</v>
      </c>
      <c r="AP191" s="264">
        <f t="shared" si="311"/>
        <v>8693680</v>
      </c>
      <c r="AQ191" s="69">
        <f>SUM(AP191+AM191+AI191)-AF191</f>
        <v>0</v>
      </c>
      <c r="AR191" s="47"/>
    </row>
    <row r="192" spans="1:44" ht="55.9" customHeight="1">
      <c r="B192" s="61" t="s">
        <v>126</v>
      </c>
      <c r="C192" s="327" t="s">
        <v>557</v>
      </c>
      <c r="D192" s="96"/>
      <c r="E192" s="120" t="s">
        <v>541</v>
      </c>
      <c r="F192" s="1"/>
      <c r="G192" s="425" t="s">
        <v>467</v>
      </c>
      <c r="H192" s="425" t="s">
        <v>537</v>
      </c>
      <c r="I192" s="8">
        <v>3260130</v>
      </c>
      <c r="J192" s="7">
        <v>0</v>
      </c>
      <c r="K192" s="257">
        <f t="shared" ref="K192:K193" si="312">SUM(I192:J192)</f>
        <v>3260130</v>
      </c>
      <c r="L192" s="8">
        <v>3260130</v>
      </c>
      <c r="M192" s="7">
        <v>0</v>
      </c>
      <c r="N192" s="257">
        <f t="shared" ref="N192:N193" si="313">SUM(L192:M192)</f>
        <v>3260130</v>
      </c>
      <c r="O192" s="8">
        <v>3260130</v>
      </c>
      <c r="P192" s="7">
        <v>0</v>
      </c>
      <c r="Q192" s="257">
        <f t="shared" si="302"/>
        <v>3260130</v>
      </c>
      <c r="R192" s="8">
        <v>3260130</v>
      </c>
      <c r="S192" s="7">
        <v>0</v>
      </c>
      <c r="T192" s="257">
        <f t="shared" si="303"/>
        <v>3260130</v>
      </c>
      <c r="U192" s="8">
        <v>3260130</v>
      </c>
      <c r="V192" s="7">
        <v>0</v>
      </c>
      <c r="W192" s="257">
        <f t="shared" ref="W192:W193" si="314">SUM(U192:V192)</f>
        <v>3260130</v>
      </c>
      <c r="X192" s="8">
        <v>3260130</v>
      </c>
      <c r="Y192" s="7">
        <v>0</v>
      </c>
      <c r="Z192" s="257">
        <f t="shared" si="304"/>
        <v>3260130</v>
      </c>
      <c r="AA192" s="8">
        <v>3260130</v>
      </c>
      <c r="AB192" s="7">
        <v>0</v>
      </c>
      <c r="AC192" s="257">
        <f t="shared" si="305"/>
        <v>3260130</v>
      </c>
      <c r="AD192" s="8">
        <f t="shared" si="306"/>
        <v>22820910</v>
      </c>
      <c r="AE192" s="8">
        <f t="shared" si="307"/>
        <v>0</v>
      </c>
      <c r="AF192" s="257">
        <f t="shared" si="310"/>
        <v>22820910</v>
      </c>
      <c r="AG192" s="8">
        <f>3260130*3</f>
        <v>9780390</v>
      </c>
      <c r="AH192" s="64">
        <v>0</v>
      </c>
      <c r="AI192" s="257">
        <f t="shared" ref="AI192:AI193" si="315">SUM(AG192:AH192)</f>
        <v>9780390</v>
      </c>
      <c r="AJ192" s="8">
        <v>0</v>
      </c>
      <c r="AK192" s="64">
        <v>0</v>
      </c>
      <c r="AL192" s="83"/>
      <c r="AM192" s="264">
        <f t="shared" ref="AM192:AM193" si="316">AJ192+AK192</f>
        <v>0</v>
      </c>
      <c r="AN192" s="8">
        <f>3260130*4</f>
        <v>13040520</v>
      </c>
      <c r="AO192" s="83">
        <f t="shared" si="308"/>
        <v>0</v>
      </c>
      <c r="AP192" s="264">
        <f t="shared" si="311"/>
        <v>13040520</v>
      </c>
      <c r="AQ192" s="69">
        <f t="shared" si="309"/>
        <v>0</v>
      </c>
      <c r="AR192" s="47"/>
    </row>
    <row r="193" spans="2:44" ht="55.9" customHeight="1" thickBot="1">
      <c r="B193" s="61" t="s">
        <v>127</v>
      </c>
      <c r="C193" s="328" t="s">
        <v>558</v>
      </c>
      <c r="D193" s="96"/>
      <c r="E193" s="120" t="s">
        <v>541</v>
      </c>
      <c r="F193" s="1"/>
      <c r="G193" s="466" t="s">
        <v>467</v>
      </c>
      <c r="H193" s="466" t="s">
        <v>537</v>
      </c>
      <c r="I193" s="8">
        <v>2173420</v>
      </c>
      <c r="J193" s="7">
        <v>0</v>
      </c>
      <c r="K193" s="257">
        <f t="shared" si="312"/>
        <v>2173420</v>
      </c>
      <c r="L193" s="8">
        <v>2173420</v>
      </c>
      <c r="M193" s="7">
        <v>0</v>
      </c>
      <c r="N193" s="257">
        <f t="shared" si="313"/>
        <v>2173420</v>
      </c>
      <c r="O193" s="8">
        <v>2173420</v>
      </c>
      <c r="P193" s="7">
        <v>0</v>
      </c>
      <c r="Q193" s="257">
        <f t="shared" si="302"/>
        <v>2173420</v>
      </c>
      <c r="R193" s="8">
        <v>2173420</v>
      </c>
      <c r="S193" s="7">
        <v>0</v>
      </c>
      <c r="T193" s="257">
        <f t="shared" si="303"/>
        <v>2173420</v>
      </c>
      <c r="U193" s="8">
        <v>2173420</v>
      </c>
      <c r="V193" s="7">
        <v>0</v>
      </c>
      <c r="W193" s="257">
        <f t="shared" si="314"/>
        <v>2173420</v>
      </c>
      <c r="X193" s="8">
        <v>2173420</v>
      </c>
      <c r="Y193" s="7">
        <v>0</v>
      </c>
      <c r="Z193" s="257">
        <f t="shared" si="304"/>
        <v>2173420</v>
      </c>
      <c r="AA193" s="8">
        <v>2173420</v>
      </c>
      <c r="AB193" s="7">
        <v>0</v>
      </c>
      <c r="AC193" s="257">
        <f t="shared" si="305"/>
        <v>2173420</v>
      </c>
      <c r="AD193" s="8">
        <f t="shared" si="306"/>
        <v>15213940</v>
      </c>
      <c r="AE193" s="8">
        <f t="shared" si="307"/>
        <v>0</v>
      </c>
      <c r="AF193" s="257">
        <f t="shared" si="310"/>
        <v>15213940</v>
      </c>
      <c r="AG193" s="8">
        <f>2173420*3</f>
        <v>6520260</v>
      </c>
      <c r="AH193" s="64">
        <v>0</v>
      </c>
      <c r="AI193" s="257">
        <f t="shared" si="315"/>
        <v>6520260</v>
      </c>
      <c r="AJ193" s="8">
        <v>0</v>
      </c>
      <c r="AK193" s="64">
        <v>0</v>
      </c>
      <c r="AL193" s="83"/>
      <c r="AM193" s="264">
        <f t="shared" si="316"/>
        <v>0</v>
      </c>
      <c r="AN193" s="8">
        <f>2173420*4</f>
        <v>8693680</v>
      </c>
      <c r="AO193" s="83">
        <f>SUM(AO194:AO201)</f>
        <v>0</v>
      </c>
      <c r="AP193" s="264">
        <f t="shared" si="311"/>
        <v>8693680</v>
      </c>
      <c r="AQ193" s="69">
        <f t="shared" si="309"/>
        <v>0</v>
      </c>
      <c r="AR193" s="47"/>
    </row>
    <row r="194" spans="2:44" ht="73.900000000000006" customHeight="1" thickBot="1">
      <c r="B194" s="182" t="s">
        <v>4</v>
      </c>
      <c r="C194" s="267" t="s">
        <v>562</v>
      </c>
      <c r="D194" s="206"/>
      <c r="E194" s="186" t="s">
        <v>541</v>
      </c>
      <c r="F194" s="186"/>
      <c r="G194" s="207">
        <v>2023</v>
      </c>
      <c r="H194" s="195">
        <v>2024</v>
      </c>
      <c r="I194" s="190">
        <f>SUM(I195:I197)</f>
        <v>3260130</v>
      </c>
      <c r="J194" s="190">
        <f>SUM(J195:J197)</f>
        <v>0</v>
      </c>
      <c r="K194" s="190">
        <f>I194+J194</f>
        <v>3260130</v>
      </c>
      <c r="L194" s="190">
        <f t="shared" ref="L194:M194" si="317">SUM(L195:L197)</f>
        <v>5400000</v>
      </c>
      <c r="M194" s="190">
        <f t="shared" si="317"/>
        <v>0</v>
      </c>
      <c r="N194" s="190">
        <f>L194+M194</f>
        <v>5400000</v>
      </c>
      <c r="O194" s="190">
        <f t="shared" ref="O194:P194" si="318">SUM(O195:O197)</f>
        <v>6860130</v>
      </c>
      <c r="P194" s="190">
        <f t="shared" si="318"/>
        <v>0</v>
      </c>
      <c r="Q194" s="190">
        <f t="shared" si="302"/>
        <v>6860130</v>
      </c>
      <c r="R194" s="190">
        <f t="shared" ref="R194:S194" si="319">SUM(R195:R197)</f>
        <v>0</v>
      </c>
      <c r="S194" s="190">
        <f t="shared" si="319"/>
        <v>0</v>
      </c>
      <c r="T194" s="190">
        <f t="shared" si="303"/>
        <v>0</v>
      </c>
      <c r="U194" s="190">
        <f t="shared" ref="U194:V194" si="320">SUM(U195:U197)</f>
        <v>3260130</v>
      </c>
      <c r="V194" s="190">
        <f t="shared" si="320"/>
        <v>0</v>
      </c>
      <c r="W194" s="190">
        <f>U194+V194</f>
        <v>3260130</v>
      </c>
      <c r="X194" s="190">
        <f t="shared" ref="X194:Y194" si="321">SUM(X195:X197)</f>
        <v>0</v>
      </c>
      <c r="Y194" s="190">
        <f t="shared" si="321"/>
        <v>0</v>
      </c>
      <c r="Z194" s="190">
        <f>X194+Y194</f>
        <v>0</v>
      </c>
      <c r="AA194" s="190">
        <f t="shared" ref="AA194:AB194" si="322">SUM(AA195:AA197)</f>
        <v>3260130</v>
      </c>
      <c r="AB194" s="190">
        <f t="shared" si="322"/>
        <v>0</v>
      </c>
      <c r="AC194" s="190">
        <f>AA194+AB194</f>
        <v>3260130</v>
      </c>
      <c r="AD194" s="190">
        <f t="shared" si="306"/>
        <v>22040520</v>
      </c>
      <c r="AE194" s="190">
        <f t="shared" si="307"/>
        <v>0</v>
      </c>
      <c r="AF194" s="190">
        <f>AD194+AE194</f>
        <v>22040520</v>
      </c>
      <c r="AG194" s="190">
        <f t="shared" ref="AG194:AH194" si="323">SUM(AG195:AG197)</f>
        <v>15520260</v>
      </c>
      <c r="AH194" s="190">
        <f t="shared" si="323"/>
        <v>0</v>
      </c>
      <c r="AI194" s="190">
        <f>AG194+AH194</f>
        <v>15520260</v>
      </c>
      <c r="AJ194" s="190">
        <f t="shared" ref="AJ194:AK194" si="324">SUM(AJ195:AJ197)</f>
        <v>0</v>
      </c>
      <c r="AK194" s="190">
        <f t="shared" si="324"/>
        <v>0</v>
      </c>
      <c r="AL194" s="197"/>
      <c r="AM194" s="197">
        <f>AJ194+AK194</f>
        <v>0</v>
      </c>
      <c r="AN194" s="190">
        <f t="shared" ref="AN194:AO194" si="325">SUM(AN195:AN197)</f>
        <v>6520260</v>
      </c>
      <c r="AO194" s="190">
        <f t="shared" si="325"/>
        <v>0</v>
      </c>
      <c r="AP194" s="197">
        <f>AN194+AO194</f>
        <v>6520260</v>
      </c>
      <c r="AQ194" s="193">
        <f>SUM(AP194+AM194+AI194)-AF194</f>
        <v>0</v>
      </c>
      <c r="AR194" s="47"/>
    </row>
    <row r="195" spans="2:44" ht="81.599999999999994" customHeight="1">
      <c r="B195" s="61" t="s">
        <v>122</v>
      </c>
      <c r="C195" s="337" t="s">
        <v>563</v>
      </c>
      <c r="D195" s="96"/>
      <c r="E195" s="329" t="s">
        <v>541</v>
      </c>
      <c r="F195" s="1"/>
      <c r="G195" s="464" t="s">
        <v>566</v>
      </c>
      <c r="H195" s="464" t="s">
        <v>566</v>
      </c>
      <c r="I195" s="8">
        <v>3260130</v>
      </c>
      <c r="J195" s="7">
        <v>0</v>
      </c>
      <c r="K195" s="257">
        <f>SUM(I195:J195)</f>
        <v>3260130</v>
      </c>
      <c r="L195" s="8">
        <v>0</v>
      </c>
      <c r="M195" s="7">
        <v>0</v>
      </c>
      <c r="N195" s="257">
        <f>SUM(L195:M195)</f>
        <v>0</v>
      </c>
      <c r="O195" s="8">
        <v>3260130</v>
      </c>
      <c r="P195" s="7">
        <v>0</v>
      </c>
      <c r="Q195" s="257">
        <f t="shared" si="302"/>
        <v>3260130</v>
      </c>
      <c r="R195" s="8">
        <v>0</v>
      </c>
      <c r="S195" s="64">
        <v>0</v>
      </c>
      <c r="T195" s="257">
        <f t="shared" si="303"/>
        <v>0</v>
      </c>
      <c r="U195" s="8">
        <v>3260130</v>
      </c>
      <c r="V195" s="64">
        <v>0</v>
      </c>
      <c r="W195" s="257">
        <f>SUM(U195:V195)</f>
        <v>3260130</v>
      </c>
      <c r="X195" s="64">
        <v>0</v>
      </c>
      <c r="Y195" s="64">
        <v>0</v>
      </c>
      <c r="Z195" s="257">
        <f t="shared" ref="Z195:Z214" si="326">X195+Y195</f>
        <v>0</v>
      </c>
      <c r="AA195" s="64">
        <v>3260130</v>
      </c>
      <c r="AB195" s="64">
        <v>0</v>
      </c>
      <c r="AC195" s="257">
        <f t="shared" ref="AC195:AC214" si="327">AA195+AB195</f>
        <v>3260130</v>
      </c>
      <c r="AD195" s="8">
        <f t="shared" si="306"/>
        <v>13040520</v>
      </c>
      <c r="AE195" s="8">
        <f t="shared" si="307"/>
        <v>0</v>
      </c>
      <c r="AF195" s="257">
        <f>SUM(AD195:AE195)</f>
        <v>13040520</v>
      </c>
      <c r="AG195" s="8">
        <f>3260130*2</f>
        <v>6520260</v>
      </c>
      <c r="AH195" s="64">
        <v>0</v>
      </c>
      <c r="AI195" s="257">
        <f>SUM(AG195:AH195)</f>
        <v>6520260</v>
      </c>
      <c r="AJ195" s="8">
        <v>0</v>
      </c>
      <c r="AK195" s="64">
        <v>0</v>
      </c>
      <c r="AL195" s="83"/>
      <c r="AM195" s="264">
        <v>0</v>
      </c>
      <c r="AN195" s="83">
        <f>3260130*2</f>
        <v>6520260</v>
      </c>
      <c r="AO195" s="83">
        <v>0</v>
      </c>
      <c r="AP195" s="264">
        <f>SUM(AN195:AO195)</f>
        <v>6520260</v>
      </c>
      <c r="AQ195" s="69">
        <f t="shared" si="309"/>
        <v>0</v>
      </c>
      <c r="AR195" s="47"/>
    </row>
    <row r="196" spans="2:44" ht="73.900000000000006" customHeight="1">
      <c r="B196" s="35" t="s">
        <v>123</v>
      </c>
      <c r="C196" s="327" t="s">
        <v>564</v>
      </c>
      <c r="D196" s="96"/>
      <c r="E196" s="330" t="s">
        <v>541</v>
      </c>
      <c r="F196" s="1"/>
      <c r="G196" s="465" t="s">
        <v>567</v>
      </c>
      <c r="H196" s="465" t="s">
        <v>468</v>
      </c>
      <c r="I196" s="8">
        <v>0</v>
      </c>
      <c r="J196" s="7">
        <v>0</v>
      </c>
      <c r="K196" s="257">
        <f>SUM(I196:J196)</f>
        <v>0</v>
      </c>
      <c r="L196" s="8">
        <f>3*1800000</f>
        <v>5400000</v>
      </c>
      <c r="M196" s="7">
        <v>0</v>
      </c>
      <c r="N196" s="257">
        <f>SUM(L196:M196)</f>
        <v>5400000</v>
      </c>
      <c r="O196" s="8">
        <v>0</v>
      </c>
      <c r="P196" s="7">
        <v>0</v>
      </c>
      <c r="Q196" s="257">
        <f t="shared" si="302"/>
        <v>0</v>
      </c>
      <c r="R196" s="8">
        <v>0</v>
      </c>
      <c r="S196" s="64">
        <v>0</v>
      </c>
      <c r="T196" s="257">
        <f t="shared" si="303"/>
        <v>0</v>
      </c>
      <c r="U196" s="8">
        <v>0</v>
      </c>
      <c r="V196" s="64">
        <v>0</v>
      </c>
      <c r="W196" s="257">
        <f>SUM(U196:V196)</f>
        <v>0</v>
      </c>
      <c r="X196" s="64">
        <v>0</v>
      </c>
      <c r="Y196" s="64">
        <v>0</v>
      </c>
      <c r="Z196" s="257">
        <f t="shared" si="326"/>
        <v>0</v>
      </c>
      <c r="AA196" s="64">
        <v>0</v>
      </c>
      <c r="AB196" s="64">
        <v>0</v>
      </c>
      <c r="AC196" s="257">
        <f t="shared" si="327"/>
        <v>0</v>
      </c>
      <c r="AD196" s="8">
        <f t="shared" si="306"/>
        <v>5400000</v>
      </c>
      <c r="AE196" s="8">
        <f t="shared" si="307"/>
        <v>0</v>
      </c>
      <c r="AF196" s="257">
        <f>SUM(AD196:AE196)</f>
        <v>5400000</v>
      </c>
      <c r="AG196" s="8">
        <v>5400000</v>
      </c>
      <c r="AH196" s="64">
        <v>0</v>
      </c>
      <c r="AI196" s="257">
        <f>SUM(AG196:AH196)</f>
        <v>5400000</v>
      </c>
      <c r="AJ196" s="8">
        <v>0</v>
      </c>
      <c r="AK196" s="64">
        <v>0</v>
      </c>
      <c r="AL196" s="83"/>
      <c r="AM196" s="264">
        <v>0</v>
      </c>
      <c r="AN196" s="83">
        <v>0</v>
      </c>
      <c r="AO196" s="83">
        <v>0</v>
      </c>
      <c r="AP196" s="264">
        <f t="shared" ref="AP196:AP214" si="328">SUM(AN196:AO196)</f>
        <v>0</v>
      </c>
      <c r="AQ196" s="69">
        <f t="shared" si="309"/>
        <v>0</v>
      </c>
      <c r="AR196" s="47"/>
    </row>
    <row r="197" spans="2:44" ht="69.599999999999994" customHeight="1">
      <c r="B197" s="35" t="s">
        <v>124</v>
      </c>
      <c r="C197" s="327" t="s">
        <v>565</v>
      </c>
      <c r="D197" s="96"/>
      <c r="E197" s="330" t="s">
        <v>541</v>
      </c>
      <c r="F197" s="1"/>
      <c r="G197" s="465" t="s">
        <v>568</v>
      </c>
      <c r="H197" s="465" t="s">
        <v>568</v>
      </c>
      <c r="I197" s="8">
        <v>0</v>
      </c>
      <c r="J197" s="7">
        <v>0</v>
      </c>
      <c r="K197" s="257">
        <f>SUM(I197:J197)</f>
        <v>0</v>
      </c>
      <c r="L197" s="8">
        <v>0</v>
      </c>
      <c r="M197" s="7">
        <v>0</v>
      </c>
      <c r="N197" s="257">
        <f>SUM(L197:M197)</f>
        <v>0</v>
      </c>
      <c r="O197" s="8">
        <v>3600000</v>
      </c>
      <c r="P197" s="7">
        <v>0</v>
      </c>
      <c r="Q197" s="257">
        <f t="shared" si="302"/>
        <v>3600000</v>
      </c>
      <c r="R197" s="8">
        <v>0</v>
      </c>
      <c r="S197" s="64">
        <v>0</v>
      </c>
      <c r="T197" s="257">
        <f t="shared" si="303"/>
        <v>0</v>
      </c>
      <c r="U197" s="8">
        <v>0</v>
      </c>
      <c r="V197" s="64">
        <v>0</v>
      </c>
      <c r="W197" s="257">
        <f>SUM(U197:V197)</f>
        <v>0</v>
      </c>
      <c r="X197" s="64">
        <v>0</v>
      </c>
      <c r="Y197" s="64">
        <v>0</v>
      </c>
      <c r="Z197" s="257">
        <f t="shared" si="326"/>
        <v>0</v>
      </c>
      <c r="AA197" s="64">
        <v>0</v>
      </c>
      <c r="AB197" s="64">
        <v>0</v>
      </c>
      <c r="AC197" s="257">
        <f t="shared" si="327"/>
        <v>0</v>
      </c>
      <c r="AD197" s="8">
        <f t="shared" si="306"/>
        <v>3600000</v>
      </c>
      <c r="AE197" s="8">
        <f t="shared" si="307"/>
        <v>0</v>
      </c>
      <c r="AF197" s="257">
        <f>SUM(AD197:AE197)</f>
        <v>3600000</v>
      </c>
      <c r="AG197" s="8">
        <v>3600000</v>
      </c>
      <c r="AH197" s="64">
        <v>0</v>
      </c>
      <c r="AI197" s="257">
        <f>SUM(AG197:AH197)</f>
        <v>3600000</v>
      </c>
      <c r="AJ197" s="8">
        <v>0</v>
      </c>
      <c r="AK197" s="64">
        <v>0</v>
      </c>
      <c r="AL197" s="83"/>
      <c r="AM197" s="264">
        <v>0</v>
      </c>
      <c r="AN197" s="83">
        <v>0</v>
      </c>
      <c r="AO197" s="83">
        <v>0</v>
      </c>
      <c r="AP197" s="264">
        <f t="shared" si="328"/>
        <v>0</v>
      </c>
      <c r="AQ197" s="69">
        <f t="shared" si="309"/>
        <v>0</v>
      </c>
      <c r="AR197" s="47"/>
    </row>
    <row r="198" spans="2:44" ht="35.450000000000003" customHeight="1">
      <c r="B198" s="210"/>
      <c r="C198" s="470" t="s">
        <v>22</v>
      </c>
      <c r="D198" s="206"/>
      <c r="E198" s="398"/>
      <c r="F198" s="186"/>
      <c r="G198" s="471"/>
      <c r="H198" s="471"/>
      <c r="I198" s="238">
        <f>SUM(I188,I194)</f>
        <v>13040520</v>
      </c>
      <c r="J198" s="472">
        <f t="shared" ref="J198:AK198" si="329">SUM(J188,J194)</f>
        <v>0</v>
      </c>
      <c r="K198" s="238">
        <f t="shared" si="329"/>
        <v>13040520</v>
      </c>
      <c r="L198" s="238">
        <f t="shared" si="329"/>
        <v>16267100</v>
      </c>
      <c r="M198" s="472">
        <f t="shared" si="329"/>
        <v>0</v>
      </c>
      <c r="N198" s="238">
        <f t="shared" si="329"/>
        <v>16267100</v>
      </c>
      <c r="O198" s="238">
        <f t="shared" si="329"/>
        <v>14467100</v>
      </c>
      <c r="P198" s="472">
        <f t="shared" si="329"/>
        <v>0</v>
      </c>
      <c r="Q198" s="238">
        <f t="shared" si="329"/>
        <v>14467100</v>
      </c>
      <c r="R198" s="238">
        <f t="shared" si="329"/>
        <v>7606970</v>
      </c>
      <c r="S198" s="238">
        <f t="shared" si="329"/>
        <v>0</v>
      </c>
      <c r="T198" s="238">
        <f t="shared" si="329"/>
        <v>7606970</v>
      </c>
      <c r="U198" s="238">
        <f t="shared" si="329"/>
        <v>10867100</v>
      </c>
      <c r="V198" s="238">
        <f t="shared" si="329"/>
        <v>0</v>
      </c>
      <c r="W198" s="238">
        <f t="shared" si="329"/>
        <v>10867100</v>
      </c>
      <c r="X198" s="238">
        <f t="shared" si="329"/>
        <v>7606970</v>
      </c>
      <c r="Y198" s="238">
        <f t="shared" si="329"/>
        <v>0</v>
      </c>
      <c r="Z198" s="238">
        <f t="shared" si="329"/>
        <v>7606970</v>
      </c>
      <c r="AA198" s="238">
        <f t="shared" si="329"/>
        <v>10867100</v>
      </c>
      <c r="AB198" s="238">
        <f t="shared" si="329"/>
        <v>0</v>
      </c>
      <c r="AC198" s="238">
        <f t="shared" si="329"/>
        <v>10867100</v>
      </c>
      <c r="AD198" s="238">
        <f t="shared" si="329"/>
        <v>80722860</v>
      </c>
      <c r="AE198" s="238">
        <f t="shared" si="329"/>
        <v>0</v>
      </c>
      <c r="AF198" s="238">
        <f t="shared" si="329"/>
        <v>80722860</v>
      </c>
      <c r="AG198" s="238">
        <f t="shared" si="329"/>
        <v>43774720</v>
      </c>
      <c r="AH198" s="238">
        <f t="shared" si="329"/>
        <v>0</v>
      </c>
      <c r="AI198" s="238">
        <f t="shared" si="329"/>
        <v>43774720</v>
      </c>
      <c r="AJ198" s="238">
        <f t="shared" si="329"/>
        <v>0</v>
      </c>
      <c r="AK198" s="238">
        <f t="shared" si="329"/>
        <v>0</v>
      </c>
      <c r="AL198" s="197"/>
      <c r="AM198" s="197">
        <f t="shared" ref="AM198:AP198" si="330">SUM(AM188,AM194)</f>
        <v>0</v>
      </c>
      <c r="AN198" s="197">
        <f>SUM(AN199:AN200)</f>
        <v>0</v>
      </c>
      <c r="AO198" s="197">
        <f>SUM(AO199:AO200)</f>
        <v>0</v>
      </c>
      <c r="AP198" s="197">
        <f t="shared" si="330"/>
        <v>36948140</v>
      </c>
      <c r="AQ198" s="193">
        <f t="shared" ref="AQ198" si="331">SUM(AP198+AM198+AI198)-AF198</f>
        <v>0</v>
      </c>
      <c r="AR198" s="47"/>
    </row>
    <row r="199" spans="2:44" ht="60.6" customHeight="1">
      <c r="B199" s="35">
        <v>2.2000000000000002</v>
      </c>
      <c r="C199" s="473" t="s">
        <v>1565</v>
      </c>
      <c r="D199" s="96"/>
      <c r="E199" s="330"/>
      <c r="F199" s="1"/>
      <c r="G199" s="465"/>
      <c r="H199" s="465"/>
      <c r="I199" s="8"/>
      <c r="J199" s="7"/>
      <c r="K199" s="257"/>
      <c r="L199" s="8"/>
      <c r="M199" s="7"/>
      <c r="N199" s="257"/>
      <c r="O199" s="8"/>
      <c r="P199" s="7"/>
      <c r="Q199" s="257"/>
      <c r="R199" s="8"/>
      <c r="S199" s="64"/>
      <c r="T199" s="257"/>
      <c r="U199" s="8"/>
      <c r="V199" s="64"/>
      <c r="W199" s="257"/>
      <c r="X199" s="64"/>
      <c r="Y199" s="64"/>
      <c r="Z199" s="257"/>
      <c r="AA199" s="64"/>
      <c r="AB199" s="64"/>
      <c r="AC199" s="257"/>
      <c r="AD199" s="8"/>
      <c r="AE199" s="8"/>
      <c r="AF199" s="257"/>
      <c r="AG199" s="8"/>
      <c r="AH199" s="64"/>
      <c r="AI199" s="257"/>
      <c r="AJ199" s="8"/>
      <c r="AK199" s="64"/>
      <c r="AL199" s="83"/>
      <c r="AM199" s="264"/>
      <c r="AN199" s="83"/>
      <c r="AO199" s="83"/>
      <c r="AP199" s="264"/>
      <c r="AQ199" s="69"/>
      <c r="AR199" s="47"/>
    </row>
    <row r="200" spans="2:44" ht="28.9" customHeight="1">
      <c r="B200" s="35"/>
      <c r="C200" s="467" t="s">
        <v>68</v>
      </c>
      <c r="D200" s="96"/>
      <c r="E200" s="330"/>
      <c r="F200" s="1"/>
      <c r="G200" s="465"/>
      <c r="H200" s="465"/>
      <c r="I200" s="8"/>
      <c r="J200" s="7"/>
      <c r="K200" s="257"/>
      <c r="L200" s="8"/>
      <c r="M200" s="7"/>
      <c r="N200" s="257"/>
      <c r="O200" s="8"/>
      <c r="P200" s="7"/>
      <c r="Q200" s="257"/>
      <c r="R200" s="8"/>
      <c r="S200" s="64"/>
      <c r="T200" s="257"/>
      <c r="U200" s="8"/>
      <c r="V200" s="64"/>
      <c r="W200" s="257"/>
      <c r="X200" s="64"/>
      <c r="Y200" s="64"/>
      <c r="Z200" s="257"/>
      <c r="AA200" s="64"/>
      <c r="AB200" s="64"/>
      <c r="AC200" s="257"/>
      <c r="AD200" s="8"/>
      <c r="AE200" s="8"/>
      <c r="AF200" s="257"/>
      <c r="AG200" s="8"/>
      <c r="AH200" s="64"/>
      <c r="AI200" s="257"/>
      <c r="AJ200" s="8"/>
      <c r="AK200" s="64"/>
      <c r="AL200" s="83"/>
      <c r="AM200" s="264"/>
      <c r="AN200" s="83"/>
      <c r="AO200" s="83"/>
      <c r="AP200" s="264"/>
      <c r="AQ200" s="69"/>
      <c r="AR200" s="47"/>
    </row>
    <row r="201" spans="2:44" ht="60.6" customHeight="1" thickBot="1">
      <c r="B201" s="210" t="s">
        <v>6</v>
      </c>
      <c r="C201" s="258" t="s">
        <v>569</v>
      </c>
      <c r="D201" s="206"/>
      <c r="E201" s="186" t="s">
        <v>581</v>
      </c>
      <c r="F201" s="186" t="s">
        <v>582</v>
      </c>
      <c r="G201" s="185">
        <v>2024</v>
      </c>
      <c r="H201" s="185">
        <v>2030</v>
      </c>
      <c r="I201" s="190">
        <f>SUM(I202:I206)</f>
        <v>3980130</v>
      </c>
      <c r="J201" s="190">
        <f>SUM(J202:J206)</f>
        <v>0</v>
      </c>
      <c r="K201" s="190">
        <f>I201+J201</f>
        <v>3980130</v>
      </c>
      <c r="L201" s="190">
        <f>SUM(L202:L206)</f>
        <v>5066840</v>
      </c>
      <c r="M201" s="190">
        <f>SUM(M202:M206)</f>
        <v>0</v>
      </c>
      <c r="N201" s="190">
        <f>L201+M201</f>
        <v>5066840</v>
      </c>
      <c r="O201" s="190">
        <f>SUM(O202:O206)</f>
        <v>6153550</v>
      </c>
      <c r="P201" s="189">
        <f>SUM(P202:P206)</f>
        <v>0</v>
      </c>
      <c r="Q201" s="190">
        <f t="shared" ref="Q201:Q206" si="332">SUM(O201:P201)</f>
        <v>6153550</v>
      </c>
      <c r="R201" s="190">
        <f>SUM(R202:R206)</f>
        <v>3980130</v>
      </c>
      <c r="S201" s="190">
        <f>SUM(S202:S206)</f>
        <v>0</v>
      </c>
      <c r="T201" s="190">
        <f t="shared" ref="T201:T206" si="333">SUM(R201:S201)</f>
        <v>3980130</v>
      </c>
      <c r="U201" s="190">
        <f>SUM(U202:U206)</f>
        <v>3980130</v>
      </c>
      <c r="V201" s="190">
        <f>SUM(V202:V206)</f>
        <v>0</v>
      </c>
      <c r="W201" s="190">
        <f>U201+V201</f>
        <v>3980130</v>
      </c>
      <c r="X201" s="190">
        <f>SUM(X202:X206)</f>
        <v>3980130</v>
      </c>
      <c r="Y201" s="190">
        <f>SUM(Y202:Y206)</f>
        <v>0</v>
      </c>
      <c r="Z201" s="190">
        <f>X201+Y201</f>
        <v>3980130</v>
      </c>
      <c r="AA201" s="190">
        <f>SUM(AA202:AA206)</f>
        <v>3980130</v>
      </c>
      <c r="AB201" s="190">
        <f>SUM(AB202:AB206)</f>
        <v>0</v>
      </c>
      <c r="AC201" s="190">
        <f>AA201+AB201</f>
        <v>3980130</v>
      </c>
      <c r="AD201" s="190">
        <f t="shared" ref="AD201:AD206" si="334">I201+L201+O201+R201+U201+X201+AA201</f>
        <v>31121040</v>
      </c>
      <c r="AE201" s="190">
        <f t="shared" ref="AE201:AE206" si="335">J201+M201+P201+S201+V201+Y201+AB201</f>
        <v>0</v>
      </c>
      <c r="AF201" s="190">
        <f>AD201+AE201</f>
        <v>31121040</v>
      </c>
      <c r="AG201" s="190">
        <f>SUM(AG202:AG206)</f>
        <v>15200520</v>
      </c>
      <c r="AH201" s="190">
        <f>SUM(AH202:AH206)</f>
        <v>0</v>
      </c>
      <c r="AI201" s="190">
        <f>AG201+AH201</f>
        <v>15200520</v>
      </c>
      <c r="AJ201" s="190">
        <f>SUM(AJ202:AJ206)</f>
        <v>0</v>
      </c>
      <c r="AK201" s="190">
        <f>SUM(AK202:AK206)</f>
        <v>0</v>
      </c>
      <c r="AL201" s="197"/>
      <c r="AM201" s="197">
        <f>AJ201+AK201</f>
        <v>0</v>
      </c>
      <c r="AN201" s="197">
        <f>SUM(AN202:AN206)</f>
        <v>15920520</v>
      </c>
      <c r="AO201" s="197">
        <f>SUM(AO202:AO206)</f>
        <v>0</v>
      </c>
      <c r="AP201" s="197">
        <f>AN201+AO201</f>
        <v>15920520</v>
      </c>
      <c r="AQ201" s="193">
        <f>SUM(AP201+AM201+AI201)-AF201</f>
        <v>0</v>
      </c>
      <c r="AR201" s="47"/>
    </row>
    <row r="202" spans="2:44" ht="76.900000000000006" customHeight="1">
      <c r="B202" s="468" t="s">
        <v>252</v>
      </c>
      <c r="C202" s="95" t="s">
        <v>575</v>
      </c>
      <c r="D202" s="96"/>
      <c r="E202" s="329" t="s">
        <v>541</v>
      </c>
      <c r="F202" s="474" t="s">
        <v>125</v>
      </c>
      <c r="G202" s="345">
        <v>2024</v>
      </c>
      <c r="H202" s="345">
        <v>2024</v>
      </c>
      <c r="I202" s="8">
        <v>3260130</v>
      </c>
      <c r="J202" s="7">
        <v>0</v>
      </c>
      <c r="K202" s="257">
        <f t="shared" ref="K202:K206" si="336">I202+J202</f>
        <v>3260130</v>
      </c>
      <c r="L202" s="8">
        <v>0</v>
      </c>
      <c r="M202" s="7">
        <v>0</v>
      </c>
      <c r="N202" s="257">
        <f t="shared" ref="N202:N206" si="337">L202+M202</f>
        <v>0</v>
      </c>
      <c r="O202" s="8">
        <v>0</v>
      </c>
      <c r="P202" s="7">
        <v>0</v>
      </c>
      <c r="Q202" s="257">
        <f t="shared" si="332"/>
        <v>0</v>
      </c>
      <c r="R202" s="8">
        <v>0</v>
      </c>
      <c r="S202" s="7">
        <v>0</v>
      </c>
      <c r="T202" s="257">
        <f t="shared" si="333"/>
        <v>0</v>
      </c>
      <c r="U202" s="8">
        <v>0</v>
      </c>
      <c r="V202" s="7">
        <v>0</v>
      </c>
      <c r="W202" s="257">
        <f t="shared" ref="W202:W206" si="338">U202+V202</f>
        <v>0</v>
      </c>
      <c r="X202" s="64">
        <v>0</v>
      </c>
      <c r="Y202" s="64">
        <v>0</v>
      </c>
      <c r="Z202" s="257">
        <f t="shared" ref="Z202:Z206" si="339">X202+Y202</f>
        <v>0</v>
      </c>
      <c r="AA202" s="64">
        <v>0</v>
      </c>
      <c r="AB202" s="64">
        <v>0</v>
      </c>
      <c r="AC202" s="257">
        <f t="shared" ref="AC202:AC206" si="340">AA202+AB202</f>
        <v>0</v>
      </c>
      <c r="AD202" s="8">
        <f t="shared" si="334"/>
        <v>3260130</v>
      </c>
      <c r="AE202" s="8">
        <f t="shared" si="335"/>
        <v>0</v>
      </c>
      <c r="AF202" s="257">
        <f t="shared" ref="AF202:AF206" si="341">AD202+AE202</f>
        <v>3260130</v>
      </c>
      <c r="AG202" s="8">
        <v>3260130</v>
      </c>
      <c r="AH202" s="64">
        <v>0</v>
      </c>
      <c r="AI202" s="257">
        <f t="shared" ref="AI202:AI206" si="342">AG202+AH202</f>
        <v>3260130</v>
      </c>
      <c r="AJ202" s="8">
        <v>0</v>
      </c>
      <c r="AK202" s="64">
        <v>0</v>
      </c>
      <c r="AL202" s="83"/>
      <c r="AM202" s="264">
        <f t="shared" ref="AM202:AM206" si="343">AJ202+AK202</f>
        <v>0</v>
      </c>
      <c r="AN202" s="83">
        <v>0</v>
      </c>
      <c r="AO202" s="83">
        <v>0</v>
      </c>
      <c r="AP202" s="264">
        <f t="shared" ref="AP202:AP206" si="344">AN202+AO202</f>
        <v>0</v>
      </c>
      <c r="AQ202" s="69">
        <f t="shared" ref="AQ202:AQ206" si="345">SUM(AP202+AM202+AI202)-AF202</f>
        <v>0</v>
      </c>
      <c r="AR202" s="47"/>
    </row>
    <row r="203" spans="2:44" ht="57.6" customHeight="1">
      <c r="B203" s="468" t="s">
        <v>253</v>
      </c>
      <c r="C203" s="95" t="s">
        <v>576</v>
      </c>
      <c r="D203" s="96"/>
      <c r="E203" s="330" t="s">
        <v>125</v>
      </c>
      <c r="F203" s="475" t="s">
        <v>580</v>
      </c>
      <c r="G203" s="345">
        <v>2025</v>
      </c>
      <c r="H203" s="345">
        <v>2026</v>
      </c>
      <c r="I203" s="8">
        <v>0</v>
      </c>
      <c r="J203" s="7">
        <v>0</v>
      </c>
      <c r="K203" s="257">
        <f t="shared" si="336"/>
        <v>0</v>
      </c>
      <c r="L203" s="8">
        <v>1086710</v>
      </c>
      <c r="M203" s="7">
        <v>0</v>
      </c>
      <c r="N203" s="257">
        <f t="shared" si="337"/>
        <v>1086710</v>
      </c>
      <c r="O203" s="8">
        <v>2173420</v>
      </c>
      <c r="P203" s="7">
        <v>0</v>
      </c>
      <c r="Q203" s="257">
        <f t="shared" si="332"/>
        <v>2173420</v>
      </c>
      <c r="R203" s="8">
        <v>0</v>
      </c>
      <c r="S203" s="7">
        <v>0</v>
      </c>
      <c r="T203" s="257">
        <f t="shared" si="333"/>
        <v>0</v>
      </c>
      <c r="U203" s="8">
        <v>0</v>
      </c>
      <c r="V203" s="7">
        <v>0</v>
      </c>
      <c r="W203" s="257">
        <f t="shared" si="338"/>
        <v>0</v>
      </c>
      <c r="X203" s="8">
        <v>0</v>
      </c>
      <c r="Y203" s="7">
        <v>0</v>
      </c>
      <c r="Z203" s="257">
        <f t="shared" si="339"/>
        <v>0</v>
      </c>
      <c r="AA203" s="8">
        <v>0</v>
      </c>
      <c r="AB203" s="7">
        <v>0</v>
      </c>
      <c r="AC203" s="257">
        <f t="shared" si="340"/>
        <v>0</v>
      </c>
      <c r="AD203" s="8">
        <f t="shared" si="334"/>
        <v>3260130</v>
      </c>
      <c r="AE203" s="8">
        <f t="shared" si="335"/>
        <v>0</v>
      </c>
      <c r="AF203" s="257">
        <f t="shared" si="341"/>
        <v>3260130</v>
      </c>
      <c r="AG203" s="8">
        <v>3260130</v>
      </c>
      <c r="AH203" s="64">
        <v>0</v>
      </c>
      <c r="AI203" s="257">
        <f t="shared" si="342"/>
        <v>3260130</v>
      </c>
      <c r="AJ203" s="8">
        <v>0</v>
      </c>
      <c r="AK203" s="64">
        <v>0</v>
      </c>
      <c r="AL203" s="83"/>
      <c r="AM203" s="264">
        <f t="shared" si="343"/>
        <v>0</v>
      </c>
      <c r="AN203" s="83">
        <v>0</v>
      </c>
      <c r="AO203" s="83">
        <v>0</v>
      </c>
      <c r="AP203" s="264">
        <f t="shared" si="344"/>
        <v>0</v>
      </c>
      <c r="AQ203" s="69">
        <f t="shared" si="345"/>
        <v>0</v>
      </c>
      <c r="AR203" s="47"/>
    </row>
    <row r="204" spans="2:44" ht="67.900000000000006" customHeight="1">
      <c r="B204" s="468" t="s">
        <v>254</v>
      </c>
      <c r="C204" s="95" t="s">
        <v>577</v>
      </c>
      <c r="D204" s="96"/>
      <c r="E204" s="330" t="s">
        <v>125</v>
      </c>
      <c r="F204" s="475" t="s">
        <v>580</v>
      </c>
      <c r="G204" s="345">
        <v>2024</v>
      </c>
      <c r="H204" s="345">
        <v>2030</v>
      </c>
      <c r="I204" s="8">
        <f>20*3*12000</f>
        <v>720000</v>
      </c>
      <c r="J204" s="7">
        <v>0</v>
      </c>
      <c r="K204" s="257">
        <f t="shared" si="336"/>
        <v>720000</v>
      </c>
      <c r="L204" s="8">
        <f>20*3*12000</f>
        <v>720000</v>
      </c>
      <c r="M204" s="7">
        <v>0</v>
      </c>
      <c r="N204" s="257">
        <f t="shared" si="337"/>
        <v>720000</v>
      </c>
      <c r="O204" s="8">
        <f>20*3*12000</f>
        <v>720000</v>
      </c>
      <c r="P204" s="7">
        <v>0</v>
      </c>
      <c r="Q204" s="257">
        <f t="shared" si="332"/>
        <v>720000</v>
      </c>
      <c r="R204" s="8">
        <f>20*3*12000</f>
        <v>720000</v>
      </c>
      <c r="S204" s="7">
        <v>0</v>
      </c>
      <c r="T204" s="257">
        <f t="shared" si="333"/>
        <v>720000</v>
      </c>
      <c r="U204" s="8">
        <f>20*3*12000</f>
        <v>720000</v>
      </c>
      <c r="V204" s="7">
        <v>0</v>
      </c>
      <c r="W204" s="257">
        <f t="shared" si="338"/>
        <v>720000</v>
      </c>
      <c r="X204" s="8">
        <f>20*3*12000</f>
        <v>720000</v>
      </c>
      <c r="Y204" s="7">
        <v>0</v>
      </c>
      <c r="Z204" s="257">
        <f t="shared" si="339"/>
        <v>720000</v>
      </c>
      <c r="AA204" s="8">
        <f>20*3*12000</f>
        <v>720000</v>
      </c>
      <c r="AB204" s="7">
        <v>0</v>
      </c>
      <c r="AC204" s="257">
        <f t="shared" si="340"/>
        <v>720000</v>
      </c>
      <c r="AD204" s="8">
        <f t="shared" si="334"/>
        <v>5040000</v>
      </c>
      <c r="AE204" s="8">
        <f t="shared" si="335"/>
        <v>0</v>
      </c>
      <c r="AF204" s="257">
        <f t="shared" si="341"/>
        <v>5040000</v>
      </c>
      <c r="AG204" s="8">
        <f>720000*3</f>
        <v>2160000</v>
      </c>
      <c r="AH204" s="64">
        <v>0</v>
      </c>
      <c r="AI204" s="257">
        <f t="shared" si="342"/>
        <v>2160000</v>
      </c>
      <c r="AJ204" s="8">
        <v>0</v>
      </c>
      <c r="AK204" s="64">
        <v>0</v>
      </c>
      <c r="AL204" s="83"/>
      <c r="AM204" s="264">
        <f t="shared" si="343"/>
        <v>0</v>
      </c>
      <c r="AN204" s="83">
        <f>720000*4</f>
        <v>2880000</v>
      </c>
      <c r="AO204" s="83">
        <v>0</v>
      </c>
      <c r="AP204" s="264">
        <f t="shared" si="344"/>
        <v>2880000</v>
      </c>
      <c r="AQ204" s="69">
        <f t="shared" si="345"/>
        <v>0</v>
      </c>
      <c r="AR204" s="47"/>
    </row>
    <row r="205" spans="2:44" ht="57.6" customHeight="1">
      <c r="B205" s="468" t="s">
        <v>255</v>
      </c>
      <c r="C205" s="95" t="s">
        <v>578</v>
      </c>
      <c r="D205" s="96"/>
      <c r="E205" s="330" t="s">
        <v>541</v>
      </c>
      <c r="F205" s="475"/>
      <c r="G205" s="345">
        <v>2025</v>
      </c>
      <c r="H205" s="345">
        <v>2030</v>
      </c>
      <c r="I205" s="8">
        <v>0</v>
      </c>
      <c r="J205" s="7">
        <v>0</v>
      </c>
      <c r="K205" s="257">
        <f t="shared" si="336"/>
        <v>0</v>
      </c>
      <c r="L205" s="8">
        <v>2173420</v>
      </c>
      <c r="M205" s="7">
        <v>0</v>
      </c>
      <c r="N205" s="257">
        <f t="shared" si="337"/>
        <v>2173420</v>
      </c>
      <c r="O205" s="8">
        <v>2173420</v>
      </c>
      <c r="P205" s="7">
        <v>0</v>
      </c>
      <c r="Q205" s="257">
        <f t="shared" si="332"/>
        <v>2173420</v>
      </c>
      <c r="R205" s="8">
        <v>2173420</v>
      </c>
      <c r="S205" s="7">
        <v>0</v>
      </c>
      <c r="T205" s="257">
        <f t="shared" si="333"/>
        <v>2173420</v>
      </c>
      <c r="U205" s="8">
        <v>2173420</v>
      </c>
      <c r="V205" s="7">
        <v>0</v>
      </c>
      <c r="W205" s="257">
        <f t="shared" si="338"/>
        <v>2173420</v>
      </c>
      <c r="X205" s="8">
        <v>2173420</v>
      </c>
      <c r="Y205" s="7">
        <v>0</v>
      </c>
      <c r="Z205" s="257">
        <f t="shared" si="339"/>
        <v>2173420</v>
      </c>
      <c r="AA205" s="8">
        <v>2173420</v>
      </c>
      <c r="AB205" s="7">
        <v>0</v>
      </c>
      <c r="AC205" s="257">
        <f t="shared" si="340"/>
        <v>2173420</v>
      </c>
      <c r="AD205" s="8">
        <f t="shared" si="334"/>
        <v>13040520</v>
      </c>
      <c r="AE205" s="8">
        <f t="shared" si="335"/>
        <v>0</v>
      </c>
      <c r="AF205" s="257">
        <f t="shared" si="341"/>
        <v>13040520</v>
      </c>
      <c r="AG205" s="8">
        <f>2173420*2</f>
        <v>4346840</v>
      </c>
      <c r="AH205" s="64">
        <v>0</v>
      </c>
      <c r="AI205" s="257">
        <f t="shared" si="342"/>
        <v>4346840</v>
      </c>
      <c r="AJ205" s="8">
        <v>0</v>
      </c>
      <c r="AK205" s="64">
        <v>0</v>
      </c>
      <c r="AL205" s="83"/>
      <c r="AM205" s="264">
        <f t="shared" si="343"/>
        <v>0</v>
      </c>
      <c r="AN205" s="8">
        <f>2173420*4</f>
        <v>8693680</v>
      </c>
      <c r="AO205" s="83">
        <v>0</v>
      </c>
      <c r="AP205" s="264">
        <f t="shared" si="344"/>
        <v>8693680</v>
      </c>
      <c r="AQ205" s="69">
        <f t="shared" si="345"/>
        <v>0</v>
      </c>
      <c r="AR205" s="47"/>
    </row>
    <row r="206" spans="2:44" ht="47.45" customHeight="1">
      <c r="B206" s="468" t="s">
        <v>256</v>
      </c>
      <c r="C206" s="95" t="s">
        <v>579</v>
      </c>
      <c r="D206" s="96"/>
      <c r="E206" s="340" t="s">
        <v>541</v>
      </c>
      <c r="F206" s="476"/>
      <c r="G206" s="345">
        <v>2025</v>
      </c>
      <c r="H206" s="345">
        <v>2030</v>
      </c>
      <c r="I206" s="8">
        <v>0</v>
      </c>
      <c r="J206" s="7">
        <v>0</v>
      </c>
      <c r="K206" s="257">
        <f t="shared" si="336"/>
        <v>0</v>
      </c>
      <c r="L206" s="8">
        <v>1086710</v>
      </c>
      <c r="M206" s="7">
        <v>0</v>
      </c>
      <c r="N206" s="257">
        <f t="shared" si="337"/>
        <v>1086710</v>
      </c>
      <c r="O206" s="8">
        <v>1086710</v>
      </c>
      <c r="P206" s="7">
        <v>0</v>
      </c>
      <c r="Q206" s="257">
        <f t="shared" si="332"/>
        <v>1086710</v>
      </c>
      <c r="R206" s="8">
        <v>1086710</v>
      </c>
      <c r="S206" s="7">
        <v>0</v>
      </c>
      <c r="T206" s="257">
        <f t="shared" si="333"/>
        <v>1086710</v>
      </c>
      <c r="U206" s="8">
        <v>1086710</v>
      </c>
      <c r="V206" s="7">
        <v>0</v>
      </c>
      <c r="W206" s="257">
        <f t="shared" si="338"/>
        <v>1086710</v>
      </c>
      <c r="X206" s="8">
        <v>1086710</v>
      </c>
      <c r="Y206" s="7">
        <v>0</v>
      </c>
      <c r="Z206" s="257">
        <f t="shared" si="339"/>
        <v>1086710</v>
      </c>
      <c r="AA206" s="8">
        <v>1086710</v>
      </c>
      <c r="AB206" s="7">
        <v>0</v>
      </c>
      <c r="AC206" s="257">
        <f t="shared" si="340"/>
        <v>1086710</v>
      </c>
      <c r="AD206" s="8">
        <f t="shared" si="334"/>
        <v>6520260</v>
      </c>
      <c r="AE206" s="8">
        <f t="shared" si="335"/>
        <v>0</v>
      </c>
      <c r="AF206" s="257">
        <f t="shared" si="341"/>
        <v>6520260</v>
      </c>
      <c r="AG206" s="8">
        <f>1086710*2</f>
        <v>2173420</v>
      </c>
      <c r="AH206" s="64">
        <v>0</v>
      </c>
      <c r="AI206" s="257">
        <f t="shared" si="342"/>
        <v>2173420</v>
      </c>
      <c r="AJ206" s="8">
        <v>0</v>
      </c>
      <c r="AK206" s="64">
        <v>0</v>
      </c>
      <c r="AL206" s="83"/>
      <c r="AM206" s="264">
        <f t="shared" si="343"/>
        <v>0</v>
      </c>
      <c r="AN206" s="8">
        <f>1086710*4</f>
        <v>4346840</v>
      </c>
      <c r="AO206" s="83">
        <v>0</v>
      </c>
      <c r="AP206" s="264">
        <f t="shared" si="344"/>
        <v>4346840</v>
      </c>
      <c r="AQ206" s="69">
        <f t="shared" si="345"/>
        <v>0</v>
      </c>
      <c r="AR206" s="47"/>
    </row>
    <row r="207" spans="2:44" ht="94.5" customHeight="1" thickBot="1">
      <c r="B207" s="469" t="s">
        <v>5</v>
      </c>
      <c r="C207" s="267" t="s">
        <v>572</v>
      </c>
      <c r="D207" s="206"/>
      <c r="E207" s="186" t="s">
        <v>541</v>
      </c>
      <c r="F207" s="186"/>
      <c r="G207" s="477">
        <v>2024</v>
      </c>
      <c r="H207" s="216">
        <v>2030</v>
      </c>
      <c r="I207" s="190">
        <f>SUM(I208:I211)</f>
        <v>2173420</v>
      </c>
      <c r="J207" s="189">
        <f>SUM(J208:J211)</f>
        <v>0</v>
      </c>
      <c r="K207" s="190">
        <f>I207+J207</f>
        <v>2173420</v>
      </c>
      <c r="L207" s="190">
        <f t="shared" ref="L207:M207" si="346">SUM(L208:L211)</f>
        <v>4346840</v>
      </c>
      <c r="M207" s="189">
        <f t="shared" si="346"/>
        <v>0</v>
      </c>
      <c r="N207" s="190">
        <f>L207+M207</f>
        <v>4346840</v>
      </c>
      <c r="O207" s="190">
        <f t="shared" ref="O207:P207" si="347">SUM(O208:O211)</f>
        <v>4346840</v>
      </c>
      <c r="P207" s="189">
        <f t="shared" si="347"/>
        <v>0</v>
      </c>
      <c r="Q207" s="190">
        <f t="shared" ref="Q207" si="348">SUM(O207:P207)</f>
        <v>4346840</v>
      </c>
      <c r="R207" s="190">
        <f t="shared" ref="R207:S207" si="349">SUM(R208:R211)</f>
        <v>4346840</v>
      </c>
      <c r="S207" s="190">
        <f t="shared" si="349"/>
        <v>0</v>
      </c>
      <c r="T207" s="190">
        <f t="shared" ref="T207:T213" si="350">SUM(R207:S207)</f>
        <v>4346840</v>
      </c>
      <c r="U207" s="190">
        <f t="shared" ref="U207:V207" si="351">SUM(U208:U211)</f>
        <v>4346840</v>
      </c>
      <c r="V207" s="190">
        <f t="shared" si="351"/>
        <v>0</v>
      </c>
      <c r="W207" s="190">
        <f>U207+V207</f>
        <v>4346840</v>
      </c>
      <c r="X207" s="190">
        <f t="shared" ref="X207:Y207" si="352">SUM(X208:X211)</f>
        <v>4346840</v>
      </c>
      <c r="Y207" s="190">
        <f t="shared" si="352"/>
        <v>0</v>
      </c>
      <c r="Z207" s="190">
        <f>X207+Y207</f>
        <v>4346840</v>
      </c>
      <c r="AA207" s="190">
        <f t="shared" ref="AA207:AB207" si="353">SUM(AA208:AA211)</f>
        <v>4346840</v>
      </c>
      <c r="AB207" s="190">
        <f t="shared" si="353"/>
        <v>0</v>
      </c>
      <c r="AC207" s="190">
        <f>AA207+AB207</f>
        <v>4346840</v>
      </c>
      <c r="AD207" s="190">
        <f t="shared" ref="AD207:AD211" si="354">I207+L207+O207+R207+U207+X207+AA207</f>
        <v>28254460</v>
      </c>
      <c r="AE207" s="190">
        <f t="shared" ref="AE207:AE211" si="355">J207+M207+P207+S207+V207+Y207+AB207</f>
        <v>0</v>
      </c>
      <c r="AF207" s="190">
        <f>AD207+AE207</f>
        <v>28254460</v>
      </c>
      <c r="AG207" s="190">
        <f t="shared" ref="AG207:AH207" si="356">SUM(AG208:AG211)</f>
        <v>10867100</v>
      </c>
      <c r="AH207" s="190">
        <f t="shared" si="356"/>
        <v>0</v>
      </c>
      <c r="AI207" s="190">
        <f>AG207+AH207</f>
        <v>10867100</v>
      </c>
      <c r="AJ207" s="190">
        <f t="shared" ref="AJ207:AK207" si="357">SUM(AJ208:AJ211)</f>
        <v>0</v>
      </c>
      <c r="AK207" s="190">
        <f t="shared" si="357"/>
        <v>0</v>
      </c>
      <c r="AL207" s="197"/>
      <c r="AM207" s="197">
        <f>AJ207+AK207</f>
        <v>0</v>
      </c>
      <c r="AN207" s="197">
        <f t="shared" ref="AN207:AO207" si="358">SUM(AN208:AN211)</f>
        <v>17387360</v>
      </c>
      <c r="AO207" s="197">
        <f t="shared" si="358"/>
        <v>0</v>
      </c>
      <c r="AP207" s="197">
        <f>AN207+AO207</f>
        <v>17387360</v>
      </c>
      <c r="AQ207" s="193">
        <f>SUM(AP207+AM207+AI207)-AF207</f>
        <v>0</v>
      </c>
      <c r="AR207" s="47"/>
    </row>
    <row r="208" spans="2:44" ht="62.45" customHeight="1">
      <c r="B208" s="468" t="s">
        <v>128</v>
      </c>
      <c r="C208" s="352" t="s">
        <v>573</v>
      </c>
      <c r="D208" s="96"/>
      <c r="E208" s="323" t="s">
        <v>541</v>
      </c>
      <c r="F208" s="1"/>
      <c r="G208" s="425" t="s">
        <v>467</v>
      </c>
      <c r="H208" s="425" t="s">
        <v>467</v>
      </c>
      <c r="I208" s="8">
        <v>1086710</v>
      </c>
      <c r="J208" s="7">
        <v>0</v>
      </c>
      <c r="K208" s="257">
        <f t="shared" ref="K208:K211" si="359">I208+J208</f>
        <v>1086710</v>
      </c>
      <c r="L208" s="8">
        <v>0</v>
      </c>
      <c r="M208" s="7">
        <v>0</v>
      </c>
      <c r="N208" s="257">
        <f t="shared" ref="N208:N211" si="360">L208+M208</f>
        <v>0</v>
      </c>
      <c r="O208" s="8">
        <v>0</v>
      </c>
      <c r="P208" s="7">
        <v>0</v>
      </c>
      <c r="Q208" s="257">
        <f t="shared" ref="Q208:Q213" si="361">O208+P208</f>
        <v>0</v>
      </c>
      <c r="R208" s="8">
        <v>0</v>
      </c>
      <c r="S208" s="7">
        <v>0</v>
      </c>
      <c r="T208" s="257">
        <f t="shared" si="350"/>
        <v>0</v>
      </c>
      <c r="U208" s="8">
        <v>0</v>
      </c>
      <c r="V208" s="7">
        <v>0</v>
      </c>
      <c r="W208" s="257">
        <f t="shared" ref="W208:W211" si="362">U208+V208</f>
        <v>0</v>
      </c>
      <c r="X208" s="8">
        <v>0</v>
      </c>
      <c r="Y208" s="7">
        <v>0</v>
      </c>
      <c r="Z208" s="257">
        <f t="shared" ref="Z208:Z211" si="363">X208+Y208</f>
        <v>0</v>
      </c>
      <c r="AA208" s="8">
        <v>0</v>
      </c>
      <c r="AB208" s="7">
        <v>0</v>
      </c>
      <c r="AC208" s="257">
        <f t="shared" ref="AC208:AC211" si="364">AA208+AB208</f>
        <v>0</v>
      </c>
      <c r="AD208" s="8">
        <f t="shared" si="354"/>
        <v>1086710</v>
      </c>
      <c r="AE208" s="8">
        <f t="shared" si="355"/>
        <v>0</v>
      </c>
      <c r="AF208" s="257">
        <f t="shared" ref="AF208:AF211" si="365">AD208+AE208</f>
        <v>1086710</v>
      </c>
      <c r="AG208" s="8">
        <v>1086710</v>
      </c>
      <c r="AH208" s="64">
        <v>0</v>
      </c>
      <c r="AI208" s="257">
        <f t="shared" ref="AI208:AI211" si="366">AG208+AH208</f>
        <v>1086710</v>
      </c>
      <c r="AJ208" s="8">
        <v>0</v>
      </c>
      <c r="AK208" s="64">
        <v>0</v>
      </c>
      <c r="AL208" s="83"/>
      <c r="AM208" s="264">
        <f t="shared" ref="AM208:AM211" si="367">AJ208+AK208</f>
        <v>0</v>
      </c>
      <c r="AN208" s="8">
        <v>0</v>
      </c>
      <c r="AO208" s="64">
        <v>0</v>
      </c>
      <c r="AP208" s="264">
        <f t="shared" ref="AP208:AP211" si="368">AN208+AO208</f>
        <v>0</v>
      </c>
      <c r="AQ208" s="69">
        <f t="shared" ref="AQ208:AQ211" si="369">SUM(AP208+AM208+AI208)-AF208</f>
        <v>0</v>
      </c>
      <c r="AR208" s="47"/>
    </row>
    <row r="209" spans="2:44" ht="73.900000000000006" customHeight="1">
      <c r="B209" s="35" t="s">
        <v>129</v>
      </c>
      <c r="C209" s="353" t="s">
        <v>574</v>
      </c>
      <c r="D209" s="96"/>
      <c r="E209" s="39" t="s">
        <v>541</v>
      </c>
      <c r="F209" s="1"/>
      <c r="G209" s="425">
        <v>2024</v>
      </c>
      <c r="H209" s="425">
        <v>2024</v>
      </c>
      <c r="I209" s="8">
        <v>1086710</v>
      </c>
      <c r="J209" s="7">
        <v>0</v>
      </c>
      <c r="K209" s="257">
        <f t="shared" si="359"/>
        <v>1086710</v>
      </c>
      <c r="L209" s="8">
        <v>0</v>
      </c>
      <c r="M209" s="7">
        <v>0</v>
      </c>
      <c r="N209" s="257">
        <f t="shared" si="360"/>
        <v>0</v>
      </c>
      <c r="O209" s="8">
        <v>0</v>
      </c>
      <c r="P209" s="7">
        <v>0</v>
      </c>
      <c r="Q209" s="257">
        <f t="shared" si="361"/>
        <v>0</v>
      </c>
      <c r="R209" s="8">
        <v>0</v>
      </c>
      <c r="S209" s="7">
        <v>0</v>
      </c>
      <c r="T209" s="257">
        <f t="shared" si="350"/>
        <v>0</v>
      </c>
      <c r="U209" s="8">
        <v>0</v>
      </c>
      <c r="V209" s="7">
        <v>0</v>
      </c>
      <c r="W209" s="257">
        <f t="shared" si="362"/>
        <v>0</v>
      </c>
      <c r="X209" s="8">
        <v>0</v>
      </c>
      <c r="Y209" s="7">
        <v>0</v>
      </c>
      <c r="Z209" s="257">
        <f t="shared" si="363"/>
        <v>0</v>
      </c>
      <c r="AA209" s="8">
        <v>0</v>
      </c>
      <c r="AB209" s="7">
        <v>0</v>
      </c>
      <c r="AC209" s="257">
        <f t="shared" si="364"/>
        <v>0</v>
      </c>
      <c r="AD209" s="8">
        <f t="shared" si="354"/>
        <v>1086710</v>
      </c>
      <c r="AE209" s="8">
        <f t="shared" si="355"/>
        <v>0</v>
      </c>
      <c r="AF209" s="257">
        <f t="shared" si="365"/>
        <v>1086710</v>
      </c>
      <c r="AG209" s="8">
        <v>1086710</v>
      </c>
      <c r="AH209" s="64">
        <v>0</v>
      </c>
      <c r="AI209" s="257">
        <f t="shared" si="366"/>
        <v>1086710</v>
      </c>
      <c r="AJ209" s="8">
        <v>0</v>
      </c>
      <c r="AK209" s="64">
        <v>0</v>
      </c>
      <c r="AL209" s="83"/>
      <c r="AM209" s="264">
        <f t="shared" si="367"/>
        <v>0</v>
      </c>
      <c r="AN209" s="8">
        <v>0</v>
      </c>
      <c r="AO209" s="64">
        <v>0</v>
      </c>
      <c r="AP209" s="264">
        <f t="shared" si="368"/>
        <v>0</v>
      </c>
      <c r="AQ209" s="69">
        <f t="shared" si="369"/>
        <v>0</v>
      </c>
      <c r="AR209" s="47"/>
    </row>
    <row r="210" spans="2:44" ht="56.45" customHeight="1">
      <c r="B210" s="35" t="s">
        <v>130</v>
      </c>
      <c r="C210" s="114" t="s">
        <v>1643</v>
      </c>
      <c r="D210" s="96"/>
      <c r="E210" s="39" t="s">
        <v>541</v>
      </c>
      <c r="F210" s="1"/>
      <c r="G210" s="425" t="s">
        <v>468</v>
      </c>
      <c r="H210" s="425" t="s">
        <v>537</v>
      </c>
      <c r="I210" s="8">
        <v>0</v>
      </c>
      <c r="J210" s="64">
        <v>0</v>
      </c>
      <c r="K210" s="257">
        <f t="shared" si="359"/>
        <v>0</v>
      </c>
      <c r="L210" s="8">
        <v>2173420</v>
      </c>
      <c r="M210" s="7">
        <v>0</v>
      </c>
      <c r="N210" s="257">
        <f t="shared" si="360"/>
        <v>2173420</v>
      </c>
      <c r="O210" s="8">
        <v>2173420</v>
      </c>
      <c r="P210" s="7">
        <v>0</v>
      </c>
      <c r="Q210" s="257">
        <f t="shared" si="361"/>
        <v>2173420</v>
      </c>
      <c r="R210" s="8">
        <v>2173420</v>
      </c>
      <c r="S210" s="7">
        <v>0</v>
      </c>
      <c r="T210" s="257">
        <f t="shared" si="350"/>
        <v>2173420</v>
      </c>
      <c r="U210" s="8">
        <v>2173420</v>
      </c>
      <c r="V210" s="7">
        <v>0</v>
      </c>
      <c r="W210" s="257">
        <f t="shared" si="362"/>
        <v>2173420</v>
      </c>
      <c r="X210" s="8">
        <v>2173420</v>
      </c>
      <c r="Y210" s="7">
        <v>0</v>
      </c>
      <c r="Z210" s="257">
        <f t="shared" si="363"/>
        <v>2173420</v>
      </c>
      <c r="AA210" s="8">
        <v>2173420</v>
      </c>
      <c r="AB210" s="7">
        <v>0</v>
      </c>
      <c r="AC210" s="257">
        <f t="shared" si="364"/>
        <v>2173420</v>
      </c>
      <c r="AD210" s="8">
        <f t="shared" si="354"/>
        <v>13040520</v>
      </c>
      <c r="AE210" s="8">
        <f t="shared" si="355"/>
        <v>0</v>
      </c>
      <c r="AF210" s="257">
        <f t="shared" si="365"/>
        <v>13040520</v>
      </c>
      <c r="AG210" s="8">
        <f>2173420*2</f>
        <v>4346840</v>
      </c>
      <c r="AH210" s="64">
        <v>0</v>
      </c>
      <c r="AI210" s="257">
        <f t="shared" si="366"/>
        <v>4346840</v>
      </c>
      <c r="AJ210" s="8">
        <v>0</v>
      </c>
      <c r="AK210" s="64">
        <v>0</v>
      </c>
      <c r="AL210" s="83"/>
      <c r="AM210" s="264">
        <f t="shared" si="367"/>
        <v>0</v>
      </c>
      <c r="AN210" s="8">
        <f>2173420*4</f>
        <v>8693680</v>
      </c>
      <c r="AO210" s="64">
        <v>0</v>
      </c>
      <c r="AP210" s="264">
        <f t="shared" si="368"/>
        <v>8693680</v>
      </c>
      <c r="AQ210" s="69">
        <f t="shared" si="369"/>
        <v>0</v>
      </c>
      <c r="AR210" s="47"/>
    </row>
    <row r="211" spans="2:44" ht="62.45" customHeight="1">
      <c r="B211" s="35" t="s">
        <v>571</v>
      </c>
      <c r="C211" s="114" t="s">
        <v>1644</v>
      </c>
      <c r="D211" s="96"/>
      <c r="E211" s="39" t="s">
        <v>541</v>
      </c>
      <c r="F211" s="1"/>
      <c r="G211" s="425" t="s">
        <v>468</v>
      </c>
      <c r="H211" s="425" t="s">
        <v>537</v>
      </c>
      <c r="I211" s="8">
        <v>0</v>
      </c>
      <c r="J211" s="64">
        <v>0</v>
      </c>
      <c r="K211" s="257">
        <f t="shared" si="359"/>
        <v>0</v>
      </c>
      <c r="L211" s="8">
        <v>2173420</v>
      </c>
      <c r="M211" s="7">
        <v>0</v>
      </c>
      <c r="N211" s="257">
        <f t="shared" si="360"/>
        <v>2173420</v>
      </c>
      <c r="O211" s="8">
        <v>2173420</v>
      </c>
      <c r="P211" s="7">
        <v>0</v>
      </c>
      <c r="Q211" s="257">
        <f t="shared" si="361"/>
        <v>2173420</v>
      </c>
      <c r="R211" s="8">
        <v>2173420</v>
      </c>
      <c r="S211" s="7">
        <v>0</v>
      </c>
      <c r="T211" s="257">
        <f t="shared" si="350"/>
        <v>2173420</v>
      </c>
      <c r="U211" s="8">
        <v>2173420</v>
      </c>
      <c r="V211" s="7">
        <v>0</v>
      </c>
      <c r="W211" s="257">
        <f t="shared" si="362"/>
        <v>2173420</v>
      </c>
      <c r="X211" s="8">
        <v>2173420</v>
      </c>
      <c r="Y211" s="7">
        <v>0</v>
      </c>
      <c r="Z211" s="257">
        <f t="shared" si="363"/>
        <v>2173420</v>
      </c>
      <c r="AA211" s="8">
        <v>2173420</v>
      </c>
      <c r="AB211" s="7">
        <v>0</v>
      </c>
      <c r="AC211" s="257">
        <f t="shared" si="364"/>
        <v>2173420</v>
      </c>
      <c r="AD211" s="8">
        <f t="shared" si="354"/>
        <v>13040520</v>
      </c>
      <c r="AE211" s="8">
        <f t="shared" si="355"/>
        <v>0</v>
      </c>
      <c r="AF211" s="257">
        <f t="shared" si="365"/>
        <v>13040520</v>
      </c>
      <c r="AG211" s="8">
        <f>2173420*2</f>
        <v>4346840</v>
      </c>
      <c r="AH211" s="64">
        <v>0</v>
      </c>
      <c r="AI211" s="257">
        <f t="shared" si="366"/>
        <v>4346840</v>
      </c>
      <c r="AJ211" s="8">
        <v>0</v>
      </c>
      <c r="AK211" s="64">
        <v>0</v>
      </c>
      <c r="AL211" s="83"/>
      <c r="AM211" s="264">
        <f t="shared" si="367"/>
        <v>0</v>
      </c>
      <c r="AN211" s="8">
        <f>2173420*4</f>
        <v>8693680</v>
      </c>
      <c r="AO211" s="64">
        <v>0</v>
      </c>
      <c r="AP211" s="264">
        <f t="shared" si="368"/>
        <v>8693680</v>
      </c>
      <c r="AQ211" s="69">
        <f t="shared" si="369"/>
        <v>0</v>
      </c>
      <c r="AR211" s="47"/>
    </row>
    <row r="212" spans="2:44" ht="94.5" customHeight="1" thickBot="1">
      <c r="B212" s="480" t="s">
        <v>7</v>
      </c>
      <c r="C212" s="481" t="s">
        <v>583</v>
      </c>
      <c r="D212" s="478"/>
      <c r="E212" s="479" t="s">
        <v>503</v>
      </c>
      <c r="F212" s="479"/>
      <c r="G212" s="207">
        <v>2024</v>
      </c>
      <c r="H212" s="195">
        <v>2030</v>
      </c>
      <c r="I212" s="190">
        <f>SUM(I213:I214)</f>
        <v>0</v>
      </c>
      <c r="J212" s="190">
        <f>SUM(J213:J214)</f>
        <v>0</v>
      </c>
      <c r="K212" s="190">
        <f>I212+J212</f>
        <v>0</v>
      </c>
      <c r="L212" s="190">
        <f>SUM(L213:L214)</f>
        <v>1086710</v>
      </c>
      <c r="M212" s="189">
        <f t="shared" ref="M212" si="370">SUM(M213:M214)</f>
        <v>0</v>
      </c>
      <c r="N212" s="190">
        <f>L212+M212</f>
        <v>1086710</v>
      </c>
      <c r="O212" s="190">
        <f t="shared" ref="O212:P212" si="371">SUM(O213:O214)</f>
        <v>1086710</v>
      </c>
      <c r="P212" s="189">
        <f t="shared" si="371"/>
        <v>0</v>
      </c>
      <c r="Q212" s="190">
        <f t="shared" ref="Q212" si="372">SUM(O212:P212)</f>
        <v>1086710</v>
      </c>
      <c r="R212" s="190">
        <f>SUM(R213:R214)</f>
        <v>1086710</v>
      </c>
      <c r="S212" s="190">
        <f>SUM(S213:S214)</f>
        <v>0</v>
      </c>
      <c r="T212" s="190">
        <f t="shared" ref="T212" si="373">SUM(R212:S212)</f>
        <v>1086710</v>
      </c>
      <c r="U212" s="190">
        <f>SUM(U213:U214)</f>
        <v>1086710</v>
      </c>
      <c r="V212" s="190">
        <f>SUM(V213:V214)</f>
        <v>0</v>
      </c>
      <c r="W212" s="190">
        <f>U212+V212</f>
        <v>1086710</v>
      </c>
      <c r="X212" s="190">
        <f>SUM(X213:X214)</f>
        <v>1086710</v>
      </c>
      <c r="Y212" s="190">
        <f>SUM(Y213:Y214)</f>
        <v>0</v>
      </c>
      <c r="Z212" s="190">
        <f>X212+Y212</f>
        <v>1086710</v>
      </c>
      <c r="AA212" s="190">
        <f>SUM(AA213:AA214)</f>
        <v>1086710</v>
      </c>
      <c r="AB212" s="190">
        <f>SUM(AB213:AB214)</f>
        <v>0</v>
      </c>
      <c r="AC212" s="190">
        <f>AA212+AB212</f>
        <v>1086710</v>
      </c>
      <c r="AD212" s="190">
        <f t="shared" ref="AD212:AD214" si="374">I212+L212+O212+R212+U212+X212+AA212</f>
        <v>6520260</v>
      </c>
      <c r="AE212" s="190">
        <f t="shared" ref="AE212:AE214" si="375">J212+M212+P212+S212+V212+Y212+AB212</f>
        <v>0</v>
      </c>
      <c r="AF212" s="190">
        <f>AD212+AE212</f>
        <v>6520260</v>
      </c>
      <c r="AG212" s="190">
        <f>SUM(AG213:AG214)</f>
        <v>2173420</v>
      </c>
      <c r="AH212" s="190">
        <f>SUM(AH213:AH214)</f>
        <v>0</v>
      </c>
      <c r="AI212" s="190">
        <f>AG212+AH212</f>
        <v>2173420</v>
      </c>
      <c r="AJ212" s="190">
        <f>SUM(AJ213:AJ214)</f>
        <v>0</v>
      </c>
      <c r="AK212" s="190">
        <f>SUM(AK213:AK214)</f>
        <v>0</v>
      </c>
      <c r="AL212" s="197"/>
      <c r="AM212" s="197">
        <f>AJ212+AK212</f>
        <v>0</v>
      </c>
      <c r="AN212" s="197">
        <f>SUM(AN213:AN214)</f>
        <v>4346840</v>
      </c>
      <c r="AO212" s="197">
        <f>SUM(AO213:AO214)</f>
        <v>0</v>
      </c>
      <c r="AP212" s="197">
        <f>AN212+AO212</f>
        <v>4346840</v>
      </c>
      <c r="AQ212" s="193">
        <f>SUM(AP212+AM212+AI212)-AF212</f>
        <v>0</v>
      </c>
      <c r="AR212" s="47"/>
    </row>
    <row r="213" spans="2:44" ht="75.599999999999994" customHeight="1">
      <c r="B213" s="35" t="s">
        <v>570</v>
      </c>
      <c r="C213" s="537" t="s">
        <v>584</v>
      </c>
      <c r="D213" s="96"/>
      <c r="E213" s="329" t="s">
        <v>503</v>
      </c>
      <c r="F213" s="1"/>
      <c r="G213" s="171">
        <v>2024</v>
      </c>
      <c r="H213" s="68">
        <v>2029</v>
      </c>
      <c r="I213" s="8">
        <v>0</v>
      </c>
      <c r="J213" s="7">
        <v>0</v>
      </c>
      <c r="K213" s="257">
        <f>I213+J213</f>
        <v>0</v>
      </c>
      <c r="L213" s="8">
        <v>0</v>
      </c>
      <c r="M213" s="7">
        <v>0</v>
      </c>
      <c r="N213" s="257">
        <f>L213+M213</f>
        <v>0</v>
      </c>
      <c r="O213" s="8">
        <v>0</v>
      </c>
      <c r="P213" s="7">
        <v>0</v>
      </c>
      <c r="Q213" s="257">
        <f t="shared" si="361"/>
        <v>0</v>
      </c>
      <c r="R213" s="8">
        <v>0</v>
      </c>
      <c r="S213" s="64">
        <v>0</v>
      </c>
      <c r="T213" s="257">
        <f t="shared" si="350"/>
        <v>0</v>
      </c>
      <c r="U213" s="8">
        <v>0</v>
      </c>
      <c r="V213" s="64">
        <v>0</v>
      </c>
      <c r="W213" s="257">
        <f>U213+V213</f>
        <v>0</v>
      </c>
      <c r="X213" s="64">
        <v>0</v>
      </c>
      <c r="Y213" s="64">
        <v>0</v>
      </c>
      <c r="Z213" s="257">
        <f>X213+Y213</f>
        <v>0</v>
      </c>
      <c r="AA213" s="64">
        <v>0</v>
      </c>
      <c r="AB213" s="64">
        <v>0</v>
      </c>
      <c r="AC213" s="257">
        <f>AA213+AB213</f>
        <v>0</v>
      </c>
      <c r="AD213" s="8">
        <f t="shared" si="374"/>
        <v>0</v>
      </c>
      <c r="AE213" s="8">
        <f t="shared" si="375"/>
        <v>0</v>
      </c>
      <c r="AF213" s="257">
        <f>AD213+AE213</f>
        <v>0</v>
      </c>
      <c r="AG213" s="8">
        <v>0</v>
      </c>
      <c r="AH213" s="64">
        <v>0</v>
      </c>
      <c r="AI213" s="257">
        <f>AG213+AH213</f>
        <v>0</v>
      </c>
      <c r="AJ213" s="8">
        <v>0</v>
      </c>
      <c r="AK213" s="64">
        <v>0</v>
      </c>
      <c r="AL213" s="83"/>
      <c r="AM213" s="264">
        <f>AJ213+AK213</f>
        <v>0</v>
      </c>
      <c r="AN213" s="8">
        <v>0</v>
      </c>
      <c r="AO213" s="64">
        <v>0</v>
      </c>
      <c r="AP213" s="264">
        <f>AN213+AO213</f>
        <v>0</v>
      </c>
      <c r="AQ213" s="69">
        <f>SUM(AP213+AM213+AI213)-AF213</f>
        <v>0</v>
      </c>
      <c r="AR213" s="47"/>
    </row>
    <row r="214" spans="2:44" ht="76.150000000000006" customHeight="1" thickBot="1">
      <c r="B214" s="35" t="s">
        <v>131</v>
      </c>
      <c r="C214" s="327" t="s">
        <v>585</v>
      </c>
      <c r="D214" s="96"/>
      <c r="E214" s="434" t="s">
        <v>503</v>
      </c>
      <c r="F214" s="1"/>
      <c r="G214" s="171">
        <v>2025</v>
      </c>
      <c r="H214" s="68">
        <v>2030</v>
      </c>
      <c r="I214" s="8">
        <v>0</v>
      </c>
      <c r="J214" s="7">
        <v>0</v>
      </c>
      <c r="K214" s="257">
        <f>SUM(I214:J214)</f>
        <v>0</v>
      </c>
      <c r="L214" s="8">
        <v>1086710</v>
      </c>
      <c r="M214" s="7">
        <v>0</v>
      </c>
      <c r="N214" s="257">
        <f>SUM(L214:M214)</f>
        <v>1086710</v>
      </c>
      <c r="O214" s="8">
        <v>1086710</v>
      </c>
      <c r="P214" s="7">
        <v>0</v>
      </c>
      <c r="Q214" s="257">
        <f t="shared" si="302"/>
        <v>1086710</v>
      </c>
      <c r="R214" s="8">
        <v>1086710</v>
      </c>
      <c r="S214" s="7">
        <v>0</v>
      </c>
      <c r="T214" s="257">
        <f t="shared" si="303"/>
        <v>1086710</v>
      </c>
      <c r="U214" s="8">
        <v>1086710</v>
      </c>
      <c r="V214" s="7">
        <v>0</v>
      </c>
      <c r="W214" s="257">
        <f>SUM(U214:V214)</f>
        <v>1086710</v>
      </c>
      <c r="X214" s="8">
        <v>1086710</v>
      </c>
      <c r="Y214" s="7">
        <v>0</v>
      </c>
      <c r="Z214" s="257">
        <f t="shared" si="326"/>
        <v>1086710</v>
      </c>
      <c r="AA214" s="8">
        <v>1086710</v>
      </c>
      <c r="AB214" s="7">
        <v>0</v>
      </c>
      <c r="AC214" s="257">
        <f t="shared" si="327"/>
        <v>1086710</v>
      </c>
      <c r="AD214" s="8">
        <f t="shared" si="374"/>
        <v>6520260</v>
      </c>
      <c r="AE214" s="8">
        <f t="shared" si="375"/>
        <v>0</v>
      </c>
      <c r="AF214" s="257">
        <f>SUM(AD214:AE214)</f>
        <v>6520260</v>
      </c>
      <c r="AG214" s="8">
        <f>1086710*2</f>
        <v>2173420</v>
      </c>
      <c r="AH214" s="64">
        <v>0</v>
      </c>
      <c r="AI214" s="257">
        <f>SUM(AG214:AH214)</f>
        <v>2173420</v>
      </c>
      <c r="AJ214" s="8">
        <v>0</v>
      </c>
      <c r="AK214" s="64">
        <v>0</v>
      </c>
      <c r="AL214" s="83"/>
      <c r="AM214" s="264">
        <v>0</v>
      </c>
      <c r="AN214" s="83">
        <f>1086710*4</f>
        <v>4346840</v>
      </c>
      <c r="AO214" s="83">
        <v>0</v>
      </c>
      <c r="AP214" s="264">
        <f t="shared" si="328"/>
        <v>4346840</v>
      </c>
      <c r="AQ214" s="69">
        <f t="shared" si="309"/>
        <v>0</v>
      </c>
      <c r="AR214" s="47"/>
    </row>
    <row r="215" spans="2:44" ht="51" customHeight="1">
      <c r="B215" s="769"/>
      <c r="C215" s="483" t="s">
        <v>23</v>
      </c>
      <c r="D215" s="206"/>
      <c r="E215" s="366"/>
      <c r="F215" s="186"/>
      <c r="G215" s="207"/>
      <c r="H215" s="195"/>
      <c r="I215" s="238">
        <f>SUM(I201,I207,I212)</f>
        <v>6153550</v>
      </c>
      <c r="J215" s="472">
        <f t="shared" ref="J215:AK215" si="376">SUM(J201,J207,J212)</f>
        <v>0</v>
      </c>
      <c r="K215" s="238">
        <f t="shared" si="376"/>
        <v>6153550</v>
      </c>
      <c r="L215" s="238">
        <f t="shared" si="376"/>
        <v>10500390</v>
      </c>
      <c r="M215" s="472">
        <f t="shared" si="376"/>
        <v>0</v>
      </c>
      <c r="N215" s="238">
        <f t="shared" si="376"/>
        <v>10500390</v>
      </c>
      <c r="O215" s="238">
        <f t="shared" si="376"/>
        <v>11587100</v>
      </c>
      <c r="P215" s="472">
        <f t="shared" si="376"/>
        <v>0</v>
      </c>
      <c r="Q215" s="238">
        <f t="shared" si="376"/>
        <v>11587100</v>
      </c>
      <c r="R215" s="238">
        <f t="shared" si="376"/>
        <v>9413680</v>
      </c>
      <c r="S215" s="238">
        <f t="shared" si="376"/>
        <v>0</v>
      </c>
      <c r="T215" s="238">
        <f t="shared" si="376"/>
        <v>9413680</v>
      </c>
      <c r="U215" s="238">
        <f t="shared" si="376"/>
        <v>9413680</v>
      </c>
      <c r="V215" s="238">
        <f t="shared" si="376"/>
        <v>0</v>
      </c>
      <c r="W215" s="238">
        <f t="shared" si="376"/>
        <v>9413680</v>
      </c>
      <c r="X215" s="238">
        <f t="shared" si="376"/>
        <v>9413680</v>
      </c>
      <c r="Y215" s="238">
        <f t="shared" si="376"/>
        <v>0</v>
      </c>
      <c r="Z215" s="238">
        <f t="shared" si="376"/>
        <v>9413680</v>
      </c>
      <c r="AA215" s="238">
        <f t="shared" si="376"/>
        <v>9413680</v>
      </c>
      <c r="AB215" s="238">
        <f t="shared" si="376"/>
        <v>0</v>
      </c>
      <c r="AC215" s="238">
        <f t="shared" si="376"/>
        <v>9413680</v>
      </c>
      <c r="AD215" s="238">
        <f t="shared" si="376"/>
        <v>65895760</v>
      </c>
      <c r="AE215" s="238">
        <f t="shared" si="376"/>
        <v>0</v>
      </c>
      <c r="AF215" s="238">
        <f t="shared" si="376"/>
        <v>65895760</v>
      </c>
      <c r="AG215" s="238">
        <f t="shared" si="376"/>
        <v>28241040</v>
      </c>
      <c r="AH215" s="238">
        <f t="shared" si="376"/>
        <v>0</v>
      </c>
      <c r="AI215" s="238">
        <f t="shared" si="376"/>
        <v>28241040</v>
      </c>
      <c r="AJ215" s="238">
        <f t="shared" si="376"/>
        <v>0</v>
      </c>
      <c r="AK215" s="238">
        <f t="shared" si="376"/>
        <v>0</v>
      </c>
      <c r="AL215" s="484"/>
      <c r="AM215" s="484">
        <f t="shared" ref="AM215:AP215" si="377">SUM(AM201,AM207,AM212)</f>
        <v>0</v>
      </c>
      <c r="AN215" s="484">
        <f>SUM(AN201,AN207,AN212)</f>
        <v>37654720</v>
      </c>
      <c r="AO215" s="484">
        <f t="shared" si="377"/>
        <v>0</v>
      </c>
      <c r="AP215" s="484">
        <f t="shared" si="377"/>
        <v>37654720</v>
      </c>
      <c r="AQ215" s="485">
        <f t="shared" si="309"/>
        <v>0</v>
      </c>
      <c r="AR215" s="47"/>
    </row>
    <row r="216" spans="2:44" ht="51" customHeight="1">
      <c r="B216" s="35">
        <v>2.2999999999999998</v>
      </c>
      <c r="C216" s="473" t="s">
        <v>1567</v>
      </c>
      <c r="D216" s="96"/>
      <c r="E216" s="330"/>
      <c r="F216" s="1"/>
      <c r="G216" s="465"/>
      <c r="H216" s="465"/>
      <c r="I216" s="8"/>
      <c r="J216" s="7"/>
      <c r="K216" s="257"/>
      <c r="L216" s="8"/>
      <c r="M216" s="7"/>
      <c r="N216" s="257"/>
      <c r="O216" s="8"/>
      <c r="P216" s="7"/>
      <c r="Q216" s="257"/>
      <c r="R216" s="8"/>
      <c r="S216" s="64"/>
      <c r="T216" s="257"/>
      <c r="U216" s="8"/>
      <c r="V216" s="64"/>
      <c r="W216" s="257"/>
      <c r="X216" s="64"/>
      <c r="Y216" s="64"/>
      <c r="Z216" s="257"/>
      <c r="AA216" s="64"/>
      <c r="AB216" s="64"/>
      <c r="AC216" s="257"/>
      <c r="AD216" s="8"/>
      <c r="AE216" s="8"/>
      <c r="AF216" s="257"/>
      <c r="AG216" s="8"/>
      <c r="AH216" s="64"/>
      <c r="AI216" s="257"/>
      <c r="AJ216" s="8"/>
      <c r="AK216" s="64"/>
      <c r="AL216" s="83"/>
      <c r="AM216" s="264"/>
      <c r="AN216" s="83"/>
      <c r="AO216" s="83"/>
      <c r="AP216" s="264"/>
      <c r="AQ216" s="69"/>
      <c r="AR216" s="47"/>
    </row>
    <row r="217" spans="2:44" ht="25.15" customHeight="1">
      <c r="B217" s="35"/>
      <c r="C217" s="467" t="s">
        <v>68</v>
      </c>
      <c r="D217" s="96"/>
      <c r="E217" s="330"/>
      <c r="F217" s="1"/>
      <c r="G217" s="465"/>
      <c r="H217" s="465"/>
      <c r="I217" s="8"/>
      <c r="J217" s="7"/>
      <c r="K217" s="257"/>
      <c r="L217" s="8"/>
      <c r="M217" s="7"/>
      <c r="N217" s="257"/>
      <c r="O217" s="8"/>
      <c r="P217" s="7"/>
      <c r="Q217" s="257"/>
      <c r="R217" s="8"/>
      <c r="S217" s="64"/>
      <c r="T217" s="257"/>
      <c r="U217" s="8"/>
      <c r="V217" s="64"/>
      <c r="W217" s="257"/>
      <c r="X217" s="64"/>
      <c r="Y217" s="64"/>
      <c r="Z217" s="257"/>
      <c r="AA217" s="64"/>
      <c r="AB217" s="64"/>
      <c r="AC217" s="257"/>
      <c r="AD217" s="8"/>
      <c r="AE217" s="8"/>
      <c r="AF217" s="257"/>
      <c r="AG217" s="8"/>
      <c r="AH217" s="64"/>
      <c r="AI217" s="257"/>
      <c r="AJ217" s="8"/>
      <c r="AK217" s="64"/>
      <c r="AL217" s="83"/>
      <c r="AM217" s="264"/>
      <c r="AN217" s="83"/>
      <c r="AO217" s="83"/>
      <c r="AP217" s="264"/>
      <c r="AQ217" s="69"/>
      <c r="AR217" s="47"/>
    </row>
    <row r="218" spans="2:44" ht="69" customHeight="1" thickBot="1">
      <c r="B218" s="482" t="s">
        <v>96</v>
      </c>
      <c r="C218" s="267" t="s">
        <v>591</v>
      </c>
      <c r="D218" s="209"/>
      <c r="E218" s="186" t="s">
        <v>541</v>
      </c>
      <c r="F218" s="186"/>
      <c r="G218" s="207">
        <v>2025</v>
      </c>
      <c r="H218" s="195">
        <v>2030</v>
      </c>
      <c r="I218" s="190">
        <f>SUM(I219:I221)</f>
        <v>0</v>
      </c>
      <c r="J218" s="190">
        <f>SUM(J219:J221)</f>
        <v>0</v>
      </c>
      <c r="K218" s="190">
        <f>I218+J218</f>
        <v>0</v>
      </c>
      <c r="L218" s="190">
        <f>SUM(L219:L221)</f>
        <v>5433550</v>
      </c>
      <c r="M218" s="190">
        <f>SUM(M219:M221)</f>
        <v>0</v>
      </c>
      <c r="N218" s="190">
        <f>L218+M218</f>
        <v>5433550</v>
      </c>
      <c r="O218" s="190">
        <f>SUM(O219:O221)</f>
        <v>4346840</v>
      </c>
      <c r="P218" s="190">
        <f>SUM(P219:P221)</f>
        <v>0</v>
      </c>
      <c r="Q218" s="190">
        <f t="shared" si="302"/>
        <v>4346840</v>
      </c>
      <c r="R218" s="190">
        <f>SUM(R219:R221)</f>
        <v>4346840</v>
      </c>
      <c r="S218" s="190">
        <f>SUM(S219:S221)</f>
        <v>0</v>
      </c>
      <c r="T218" s="190">
        <f t="shared" si="303"/>
        <v>4346840</v>
      </c>
      <c r="U218" s="190">
        <f>SUM(U219:U221)</f>
        <v>4346840</v>
      </c>
      <c r="V218" s="190">
        <f>SUM(V219:V221)</f>
        <v>0</v>
      </c>
      <c r="W218" s="190">
        <f>U218+V218</f>
        <v>4346840</v>
      </c>
      <c r="X218" s="190">
        <f>SUM(X219:X221)</f>
        <v>4346840</v>
      </c>
      <c r="Y218" s="190">
        <f>SUM(Y219:Y221)</f>
        <v>0</v>
      </c>
      <c r="Z218" s="190">
        <f>X218+Y218</f>
        <v>4346840</v>
      </c>
      <c r="AA218" s="190">
        <f>SUM(AA219:AA221)</f>
        <v>4346840</v>
      </c>
      <c r="AB218" s="190">
        <f>SUM(AB219:AB221)</f>
        <v>0</v>
      </c>
      <c r="AC218" s="190">
        <f>AA218+AB218</f>
        <v>4346840</v>
      </c>
      <c r="AD218" s="190">
        <f t="shared" si="306"/>
        <v>27167750</v>
      </c>
      <c r="AE218" s="190">
        <f t="shared" si="307"/>
        <v>0</v>
      </c>
      <c r="AF218" s="190">
        <f>AD218+AE218</f>
        <v>27167750</v>
      </c>
      <c r="AG218" s="190">
        <f>SUM(AG219:AG221)</f>
        <v>9780390</v>
      </c>
      <c r="AH218" s="190">
        <f>SUM(AH219:AH221)</f>
        <v>0</v>
      </c>
      <c r="AI218" s="190">
        <f>AG218+AH218</f>
        <v>9780390</v>
      </c>
      <c r="AJ218" s="190">
        <f>SUM(AJ219:AJ221)</f>
        <v>0</v>
      </c>
      <c r="AK218" s="190">
        <f>SUM(AK219:AK221)</f>
        <v>0</v>
      </c>
      <c r="AL218" s="197"/>
      <c r="AM218" s="197">
        <f>AJ218+AK218</f>
        <v>0</v>
      </c>
      <c r="AN218" s="190">
        <f>SUM(AN219:AN221)</f>
        <v>17387360</v>
      </c>
      <c r="AO218" s="190">
        <f>SUM(AO219:AO221)</f>
        <v>0</v>
      </c>
      <c r="AP218" s="197">
        <f>AN218+AO218</f>
        <v>17387360</v>
      </c>
      <c r="AQ218" s="193">
        <f>SUM(AP218+AM218+AI218)-AF218</f>
        <v>0</v>
      </c>
      <c r="AR218" s="47"/>
    </row>
    <row r="219" spans="2:44" ht="68.45" customHeight="1">
      <c r="B219" s="98" t="s">
        <v>587</v>
      </c>
      <c r="C219" s="337" t="s">
        <v>588</v>
      </c>
      <c r="D219" s="99"/>
      <c r="E219" s="323" t="s">
        <v>541</v>
      </c>
      <c r="F219" s="1"/>
      <c r="G219" s="488" t="s">
        <v>561</v>
      </c>
      <c r="H219" s="488" t="s">
        <v>561</v>
      </c>
      <c r="I219" s="8">
        <v>0</v>
      </c>
      <c r="J219" s="7">
        <v>0</v>
      </c>
      <c r="K219" s="257">
        <f>SUM(I219:J219)</f>
        <v>0</v>
      </c>
      <c r="L219" s="8">
        <v>3260130</v>
      </c>
      <c r="M219" s="7">
        <v>0</v>
      </c>
      <c r="N219" s="257">
        <f>SUM(L219:M219)</f>
        <v>3260130</v>
      </c>
      <c r="O219" s="8">
        <v>0</v>
      </c>
      <c r="P219" s="7">
        <v>0</v>
      </c>
      <c r="Q219" s="257">
        <f t="shared" si="302"/>
        <v>0</v>
      </c>
      <c r="R219" s="8">
        <v>0</v>
      </c>
      <c r="S219" s="64">
        <v>0</v>
      </c>
      <c r="T219" s="257">
        <f t="shared" si="303"/>
        <v>0</v>
      </c>
      <c r="U219" s="8">
        <v>0</v>
      </c>
      <c r="V219" s="64">
        <v>0</v>
      </c>
      <c r="W219" s="257">
        <f>SUM(U219:V219)</f>
        <v>0</v>
      </c>
      <c r="X219" s="64">
        <v>0</v>
      </c>
      <c r="Y219" s="64">
        <v>0</v>
      </c>
      <c r="Z219" s="257">
        <f t="shared" ref="Z219:Z223" si="378">X219+Y219</f>
        <v>0</v>
      </c>
      <c r="AA219" s="64">
        <v>0</v>
      </c>
      <c r="AB219" s="64">
        <v>0</v>
      </c>
      <c r="AC219" s="257">
        <f t="shared" ref="AC219:AC223" si="379">AA219+AB219</f>
        <v>0</v>
      </c>
      <c r="AD219" s="8">
        <f t="shared" si="306"/>
        <v>3260130</v>
      </c>
      <c r="AE219" s="8">
        <f t="shared" si="307"/>
        <v>0</v>
      </c>
      <c r="AF219" s="257">
        <f>SUM(AD219:AE219)</f>
        <v>3260130</v>
      </c>
      <c r="AG219" s="83">
        <v>3260130</v>
      </c>
      <c r="AH219" s="8">
        <v>0</v>
      </c>
      <c r="AI219" s="257">
        <f>SUM(AG219:AH219)</f>
        <v>3260130</v>
      </c>
      <c r="AJ219" s="8">
        <v>0</v>
      </c>
      <c r="AK219" s="64">
        <v>0</v>
      </c>
      <c r="AL219" s="83"/>
      <c r="AM219" s="264">
        <v>0</v>
      </c>
      <c r="AN219" s="83">
        <v>0</v>
      </c>
      <c r="AO219" s="83">
        <v>0</v>
      </c>
      <c r="AP219" s="264">
        <f>SUM(AN219:AO219)</f>
        <v>0</v>
      </c>
      <c r="AQ219" s="69">
        <f t="shared" si="309"/>
        <v>0</v>
      </c>
      <c r="AR219" s="47"/>
    </row>
    <row r="220" spans="2:44" ht="52.15" customHeight="1">
      <c r="B220" s="52" t="s">
        <v>132</v>
      </c>
      <c r="C220" s="327" t="s">
        <v>589</v>
      </c>
      <c r="D220" s="99"/>
      <c r="E220" s="39" t="s">
        <v>541</v>
      </c>
      <c r="F220" s="1"/>
      <c r="G220" s="489" t="s">
        <v>592</v>
      </c>
      <c r="H220" s="489" t="s">
        <v>593</v>
      </c>
      <c r="I220" s="8">
        <v>0</v>
      </c>
      <c r="J220" s="7">
        <v>0</v>
      </c>
      <c r="K220" s="257">
        <f>SUM(I220:J220)</f>
        <v>0</v>
      </c>
      <c r="L220" s="8">
        <v>0</v>
      </c>
      <c r="M220" s="7">
        <v>0</v>
      </c>
      <c r="N220" s="257">
        <f>SUM(L220:M220)</f>
        <v>0</v>
      </c>
      <c r="O220" s="8">
        <v>2173420</v>
      </c>
      <c r="P220" s="7">
        <v>0</v>
      </c>
      <c r="Q220" s="257">
        <f t="shared" si="302"/>
        <v>2173420</v>
      </c>
      <c r="R220" s="8">
        <v>2173420</v>
      </c>
      <c r="S220" s="7">
        <v>0</v>
      </c>
      <c r="T220" s="257">
        <f t="shared" si="303"/>
        <v>2173420</v>
      </c>
      <c r="U220" s="8">
        <v>2173420</v>
      </c>
      <c r="V220" s="7">
        <v>0</v>
      </c>
      <c r="W220" s="257">
        <f>SUM(U220:V220)</f>
        <v>2173420</v>
      </c>
      <c r="X220" s="8">
        <v>2173420</v>
      </c>
      <c r="Y220" s="7">
        <v>0</v>
      </c>
      <c r="Z220" s="257">
        <f t="shared" si="378"/>
        <v>2173420</v>
      </c>
      <c r="AA220" s="8">
        <v>2173420</v>
      </c>
      <c r="AB220" s="7">
        <v>0</v>
      </c>
      <c r="AC220" s="257">
        <f t="shared" si="379"/>
        <v>2173420</v>
      </c>
      <c r="AD220" s="8">
        <f t="shared" si="306"/>
        <v>10867100</v>
      </c>
      <c r="AE220" s="8">
        <f t="shared" si="307"/>
        <v>0</v>
      </c>
      <c r="AF220" s="257">
        <f>SUM(AD220:AE220)</f>
        <v>10867100</v>
      </c>
      <c r="AG220" s="83">
        <f>2173420*1</f>
        <v>2173420</v>
      </c>
      <c r="AH220" s="8">
        <v>0</v>
      </c>
      <c r="AI220" s="257">
        <f>SUM(AG220:AH220)</f>
        <v>2173420</v>
      </c>
      <c r="AJ220" s="8">
        <v>0</v>
      </c>
      <c r="AK220" s="64">
        <v>0</v>
      </c>
      <c r="AL220" s="83"/>
      <c r="AM220" s="264">
        <v>0</v>
      </c>
      <c r="AN220" s="83">
        <f>2173420*4</f>
        <v>8693680</v>
      </c>
      <c r="AO220" s="83">
        <v>0</v>
      </c>
      <c r="AP220" s="264">
        <f t="shared" ref="AP220:AP230" si="380">SUM(AN220:AO220)</f>
        <v>8693680</v>
      </c>
      <c r="AQ220" s="69">
        <f t="shared" si="309"/>
        <v>0</v>
      </c>
      <c r="AR220" s="47"/>
    </row>
    <row r="221" spans="2:44" ht="62.45" customHeight="1" thickBot="1">
      <c r="B221" s="52" t="s">
        <v>133</v>
      </c>
      <c r="C221" s="327" t="s">
        <v>590</v>
      </c>
      <c r="D221" s="99"/>
      <c r="E221" s="39" t="s">
        <v>541</v>
      </c>
      <c r="F221" s="1"/>
      <c r="G221" s="489" t="s">
        <v>468</v>
      </c>
      <c r="H221" s="489" t="s">
        <v>537</v>
      </c>
      <c r="I221" s="8">
        <v>0</v>
      </c>
      <c r="J221" s="7">
        <v>0</v>
      </c>
      <c r="K221" s="257">
        <f>SUM(I221:J221)</f>
        <v>0</v>
      </c>
      <c r="L221" s="8">
        <v>2173420</v>
      </c>
      <c r="M221" s="7">
        <v>0</v>
      </c>
      <c r="N221" s="257">
        <f>SUM(L221:M221)</f>
        <v>2173420</v>
      </c>
      <c r="O221" s="8">
        <v>2173420</v>
      </c>
      <c r="P221" s="7">
        <v>0</v>
      </c>
      <c r="Q221" s="257">
        <f t="shared" si="302"/>
        <v>2173420</v>
      </c>
      <c r="R221" s="8">
        <v>2173420</v>
      </c>
      <c r="S221" s="7">
        <v>0</v>
      </c>
      <c r="T221" s="257">
        <f t="shared" si="303"/>
        <v>2173420</v>
      </c>
      <c r="U221" s="8">
        <v>2173420</v>
      </c>
      <c r="V221" s="7">
        <v>0</v>
      </c>
      <c r="W221" s="257">
        <f>SUM(U221:V221)</f>
        <v>2173420</v>
      </c>
      <c r="X221" s="8">
        <v>2173420</v>
      </c>
      <c r="Y221" s="7">
        <v>0</v>
      </c>
      <c r="Z221" s="257">
        <f t="shared" si="378"/>
        <v>2173420</v>
      </c>
      <c r="AA221" s="8">
        <v>2173420</v>
      </c>
      <c r="AB221" s="7">
        <v>0</v>
      </c>
      <c r="AC221" s="257">
        <f t="shared" si="379"/>
        <v>2173420</v>
      </c>
      <c r="AD221" s="8">
        <f t="shared" si="306"/>
        <v>13040520</v>
      </c>
      <c r="AE221" s="8">
        <f t="shared" si="307"/>
        <v>0</v>
      </c>
      <c r="AF221" s="257">
        <f>SUM(AD221:AE221)</f>
        <v>13040520</v>
      </c>
      <c r="AG221" s="83">
        <f>2173420*2</f>
        <v>4346840</v>
      </c>
      <c r="AH221" s="8">
        <v>0</v>
      </c>
      <c r="AI221" s="257">
        <f>SUM(AG221:AH221)</f>
        <v>4346840</v>
      </c>
      <c r="AJ221" s="8">
        <v>0</v>
      </c>
      <c r="AK221" s="64">
        <v>0</v>
      </c>
      <c r="AL221" s="83"/>
      <c r="AM221" s="264">
        <v>0</v>
      </c>
      <c r="AN221" s="83">
        <f>2173420*4</f>
        <v>8693680</v>
      </c>
      <c r="AO221" s="83">
        <v>0</v>
      </c>
      <c r="AP221" s="264">
        <f t="shared" si="380"/>
        <v>8693680</v>
      </c>
      <c r="AQ221" s="69">
        <f t="shared" si="309"/>
        <v>0</v>
      </c>
      <c r="AR221" s="47"/>
    </row>
    <row r="222" spans="2:44" ht="72" customHeight="1" thickBot="1">
      <c r="B222" s="482" t="s">
        <v>586</v>
      </c>
      <c r="C222" s="487" t="s">
        <v>594</v>
      </c>
      <c r="D222" s="490"/>
      <c r="E222" s="491" t="s">
        <v>370</v>
      </c>
      <c r="F222" s="492" t="s">
        <v>597</v>
      </c>
      <c r="G222" s="207">
        <v>2024</v>
      </c>
      <c r="H222" s="195">
        <v>2024</v>
      </c>
      <c r="I222" s="190">
        <f>SUM(I223)</f>
        <v>3260130</v>
      </c>
      <c r="J222" s="190">
        <f>SUM(J223)</f>
        <v>0</v>
      </c>
      <c r="K222" s="190">
        <f>I222+J222</f>
        <v>3260130</v>
      </c>
      <c r="L222" s="190">
        <f>SUM(L223)</f>
        <v>0</v>
      </c>
      <c r="M222" s="189">
        <f>SUM(M223)</f>
        <v>0</v>
      </c>
      <c r="N222" s="190">
        <f>L222+M222</f>
        <v>0</v>
      </c>
      <c r="O222" s="190">
        <f>SUM(O223)</f>
        <v>0</v>
      </c>
      <c r="P222" s="189">
        <f>SUM(P223)</f>
        <v>0</v>
      </c>
      <c r="Q222" s="190">
        <f t="shared" ref="Q222" si="381">SUM(O222:P222)</f>
        <v>0</v>
      </c>
      <c r="R222" s="190">
        <f>SUM(R223)</f>
        <v>0</v>
      </c>
      <c r="S222" s="190">
        <f>SUM(S223)</f>
        <v>0</v>
      </c>
      <c r="T222" s="190">
        <f t="shared" ref="T222" si="382">SUM(R222:S222)</f>
        <v>0</v>
      </c>
      <c r="U222" s="190">
        <f>SUM(U223)</f>
        <v>0</v>
      </c>
      <c r="V222" s="190">
        <f>SUM(V223)</f>
        <v>0</v>
      </c>
      <c r="W222" s="190">
        <f>U222+V222</f>
        <v>0</v>
      </c>
      <c r="X222" s="190">
        <f>SUM(X223)</f>
        <v>0</v>
      </c>
      <c r="Y222" s="190">
        <f>SUM(Y223)</f>
        <v>0</v>
      </c>
      <c r="Z222" s="190">
        <f>X222+Y222</f>
        <v>0</v>
      </c>
      <c r="AA222" s="190">
        <f>SUM(AA223)</f>
        <v>0</v>
      </c>
      <c r="AB222" s="190">
        <f>SUM(AB223)</f>
        <v>0</v>
      </c>
      <c r="AC222" s="190">
        <f>AA222+AB222</f>
        <v>0</v>
      </c>
      <c r="AD222" s="190">
        <f t="shared" ref="AD222" si="383">I222+L222+O222+R222+U222+X222+AA222</f>
        <v>3260130</v>
      </c>
      <c r="AE222" s="190">
        <f t="shared" ref="AE222" si="384">J222+M222+P222+S222+V222+Y222+AB222</f>
        <v>0</v>
      </c>
      <c r="AF222" s="190">
        <f>AD222+AE222</f>
        <v>3260130</v>
      </c>
      <c r="AG222" s="197">
        <f>SUM(AG223)</f>
        <v>3260130</v>
      </c>
      <c r="AH222" s="190">
        <f>SUM(AH223)</f>
        <v>0</v>
      </c>
      <c r="AI222" s="190">
        <f>AG222+AH222</f>
        <v>3260130</v>
      </c>
      <c r="AJ222" s="190">
        <f>SUM(AJ223)</f>
        <v>0</v>
      </c>
      <c r="AK222" s="190">
        <f>SUM(AK223)</f>
        <v>0</v>
      </c>
      <c r="AL222" s="197"/>
      <c r="AM222" s="197">
        <f>AJ222+AK222</f>
        <v>0</v>
      </c>
      <c r="AN222" s="197">
        <f>SUM(AN223)</f>
        <v>0</v>
      </c>
      <c r="AO222" s="197">
        <f>SUM(AO223)</f>
        <v>0</v>
      </c>
      <c r="AP222" s="197">
        <f>AN222+AO222</f>
        <v>0</v>
      </c>
      <c r="AQ222" s="193">
        <f>SUM(AP222+AM222+AI222)-AF222</f>
        <v>0</v>
      </c>
      <c r="AR222" s="47"/>
    </row>
    <row r="223" spans="2:44" ht="72.599999999999994" customHeight="1">
      <c r="B223" s="173" t="s">
        <v>595</v>
      </c>
      <c r="C223" s="494" t="s">
        <v>596</v>
      </c>
      <c r="D223" s="177"/>
      <c r="E223" s="495" t="s">
        <v>370</v>
      </c>
      <c r="F223" s="496" t="s">
        <v>597</v>
      </c>
      <c r="G223" s="497">
        <v>2024</v>
      </c>
      <c r="H223" s="498">
        <v>2024</v>
      </c>
      <c r="I223" s="499">
        <v>3260130</v>
      </c>
      <c r="J223" s="169">
        <v>0</v>
      </c>
      <c r="K223" s="257">
        <f>SUM(I223:J223)</f>
        <v>3260130</v>
      </c>
      <c r="L223" s="8">
        <v>0</v>
      </c>
      <c r="M223" s="7">
        <v>0</v>
      </c>
      <c r="N223" s="257">
        <f>SUM(L223:M223)</f>
        <v>0</v>
      </c>
      <c r="O223" s="8">
        <v>0</v>
      </c>
      <c r="P223" s="7">
        <v>0</v>
      </c>
      <c r="Q223" s="257">
        <f t="shared" si="302"/>
        <v>0</v>
      </c>
      <c r="R223" s="8">
        <v>0</v>
      </c>
      <c r="S223" s="64">
        <v>0</v>
      </c>
      <c r="T223" s="257">
        <f t="shared" si="303"/>
        <v>0</v>
      </c>
      <c r="U223" s="8">
        <v>0</v>
      </c>
      <c r="V223" s="64">
        <v>0</v>
      </c>
      <c r="W223" s="257">
        <f>SUM(U223:V223)</f>
        <v>0</v>
      </c>
      <c r="X223" s="64">
        <v>0</v>
      </c>
      <c r="Y223" s="64">
        <v>0</v>
      </c>
      <c r="Z223" s="257">
        <f t="shared" si="378"/>
        <v>0</v>
      </c>
      <c r="AA223" s="64">
        <v>0</v>
      </c>
      <c r="AB223" s="64">
        <v>0</v>
      </c>
      <c r="AC223" s="257">
        <f t="shared" si="379"/>
        <v>0</v>
      </c>
      <c r="AD223" s="8">
        <f t="shared" si="306"/>
        <v>3260130</v>
      </c>
      <c r="AE223" s="8">
        <f t="shared" si="307"/>
        <v>0</v>
      </c>
      <c r="AF223" s="257">
        <f>SUM(AD223:AE223)</f>
        <v>3260130</v>
      </c>
      <c r="AG223" s="83">
        <v>3260130</v>
      </c>
      <c r="AH223" s="8">
        <v>0</v>
      </c>
      <c r="AI223" s="257">
        <f>SUM(AG223:AH223)</f>
        <v>3260130</v>
      </c>
      <c r="AJ223" s="8">
        <v>0</v>
      </c>
      <c r="AK223" s="64">
        <v>0</v>
      </c>
      <c r="AL223" s="83"/>
      <c r="AM223" s="264">
        <v>0</v>
      </c>
      <c r="AN223" s="83">
        <v>0</v>
      </c>
      <c r="AO223" s="83">
        <v>0</v>
      </c>
      <c r="AP223" s="264">
        <f t="shared" si="380"/>
        <v>0</v>
      </c>
      <c r="AQ223" s="69">
        <f t="shared" si="309"/>
        <v>0</v>
      </c>
      <c r="AR223" s="47"/>
    </row>
    <row r="224" spans="2:44" ht="76.5" customHeight="1">
      <c r="B224" s="210" t="s">
        <v>598</v>
      </c>
      <c r="C224" s="258" t="s">
        <v>604</v>
      </c>
      <c r="D224" s="206"/>
      <c r="E224" s="186" t="s">
        <v>611</v>
      </c>
      <c r="F224" s="186" t="s">
        <v>597</v>
      </c>
      <c r="G224" s="185">
        <v>2024</v>
      </c>
      <c r="H224" s="185">
        <v>2030</v>
      </c>
      <c r="I224" s="190">
        <f>SUM(I225:I230)</f>
        <v>10867100</v>
      </c>
      <c r="J224" s="190">
        <f>SUM(J225:J230)</f>
        <v>0</v>
      </c>
      <c r="K224" s="190">
        <f>I224+J224</f>
        <v>10867100</v>
      </c>
      <c r="L224" s="190">
        <f>SUM(L225:L230)</f>
        <v>3260130</v>
      </c>
      <c r="M224" s="190">
        <f>SUM(M225:M230)</f>
        <v>0</v>
      </c>
      <c r="N224" s="190">
        <f>L224+M224</f>
        <v>3260130</v>
      </c>
      <c r="O224" s="190">
        <f>SUM(O225:O230)</f>
        <v>3260130</v>
      </c>
      <c r="P224" s="190">
        <f>SUM(P225:P230)</f>
        <v>0</v>
      </c>
      <c r="Q224" s="190">
        <f t="shared" si="302"/>
        <v>3260130</v>
      </c>
      <c r="R224" s="190">
        <f>SUM(R225:R230)</f>
        <v>3260130</v>
      </c>
      <c r="S224" s="190">
        <f>SUM(S225:S230)</f>
        <v>0</v>
      </c>
      <c r="T224" s="190">
        <f t="shared" si="303"/>
        <v>3260130</v>
      </c>
      <c r="U224" s="190">
        <f>SUM(U225:U230)</f>
        <v>3260130</v>
      </c>
      <c r="V224" s="190">
        <f>SUM(V225:V230)</f>
        <v>0</v>
      </c>
      <c r="W224" s="190">
        <f>U224+V224</f>
        <v>3260130</v>
      </c>
      <c r="X224" s="190">
        <f>SUM(X225:X230)</f>
        <v>3260130</v>
      </c>
      <c r="Y224" s="190">
        <f>SUM(Y225:Y230)</f>
        <v>0</v>
      </c>
      <c r="Z224" s="190">
        <f>X224+Y224</f>
        <v>3260130</v>
      </c>
      <c r="AA224" s="190">
        <f>SUM(AA225:AA230)</f>
        <v>3260130</v>
      </c>
      <c r="AB224" s="190">
        <f>SUM(AB225:AB230)</f>
        <v>0</v>
      </c>
      <c r="AC224" s="190">
        <f>AA224+AB224</f>
        <v>3260130</v>
      </c>
      <c r="AD224" s="190">
        <f t="shared" si="306"/>
        <v>30427880</v>
      </c>
      <c r="AE224" s="190">
        <f t="shared" si="307"/>
        <v>0</v>
      </c>
      <c r="AF224" s="190">
        <f>AD224+AE224</f>
        <v>30427880</v>
      </c>
      <c r="AG224" s="190">
        <f>SUM(AG225:AG230)</f>
        <v>17387360</v>
      </c>
      <c r="AH224" s="190">
        <f>SUM(AH225:AH226)</f>
        <v>0</v>
      </c>
      <c r="AI224" s="190">
        <f>AG224+AH224</f>
        <v>17387360</v>
      </c>
      <c r="AJ224" s="190">
        <f t="shared" ref="AJ224:AK224" si="385">SUM(AJ225:AJ230)</f>
        <v>0</v>
      </c>
      <c r="AK224" s="190">
        <f t="shared" si="385"/>
        <v>0</v>
      </c>
      <c r="AL224" s="197"/>
      <c r="AM224" s="197">
        <f>AJ224+AK224</f>
        <v>0</v>
      </c>
      <c r="AN224" s="190">
        <f t="shared" ref="AN224:AO224" si="386">SUM(AN225:AN230)</f>
        <v>13040520</v>
      </c>
      <c r="AO224" s="190">
        <f t="shared" si="386"/>
        <v>0</v>
      </c>
      <c r="AP224" s="197">
        <f>AN224+AO224</f>
        <v>13040520</v>
      </c>
      <c r="AQ224" s="193">
        <f>SUM(AP224+AM224+AI224)-AF224</f>
        <v>0</v>
      </c>
      <c r="AR224" s="47"/>
    </row>
    <row r="225" spans="2:49" ht="52.15" customHeight="1">
      <c r="B225" s="35" t="s">
        <v>599</v>
      </c>
      <c r="C225" s="353" t="s">
        <v>605</v>
      </c>
      <c r="D225" s="96"/>
      <c r="E225" s="330" t="s">
        <v>370</v>
      </c>
      <c r="F225" s="330" t="s">
        <v>597</v>
      </c>
      <c r="G225" s="345">
        <v>2024</v>
      </c>
      <c r="H225" s="345">
        <v>2024</v>
      </c>
      <c r="I225" s="8">
        <v>3260130</v>
      </c>
      <c r="J225" s="7">
        <v>0</v>
      </c>
      <c r="K225" s="257">
        <f>SUM(I225:J225)</f>
        <v>3260130</v>
      </c>
      <c r="L225" s="8">
        <v>0</v>
      </c>
      <c r="M225" s="7">
        <v>0</v>
      </c>
      <c r="N225" s="257">
        <f>SUM(L225:M225)</f>
        <v>0</v>
      </c>
      <c r="O225" s="8">
        <v>0</v>
      </c>
      <c r="P225" s="7">
        <v>0</v>
      </c>
      <c r="Q225" s="257">
        <f t="shared" si="302"/>
        <v>0</v>
      </c>
      <c r="R225" s="8">
        <v>0</v>
      </c>
      <c r="S225" s="7">
        <v>0</v>
      </c>
      <c r="T225" s="257">
        <f t="shared" si="303"/>
        <v>0</v>
      </c>
      <c r="U225" s="8">
        <v>0</v>
      </c>
      <c r="V225" s="7">
        <v>0</v>
      </c>
      <c r="W225" s="257">
        <f>SUM(U225:V225)</f>
        <v>0</v>
      </c>
      <c r="X225" s="8">
        <v>0</v>
      </c>
      <c r="Y225" s="7">
        <v>0</v>
      </c>
      <c r="Z225" s="257">
        <f t="shared" ref="Z225:Z230" si="387">X225+Y225</f>
        <v>0</v>
      </c>
      <c r="AA225" s="8">
        <v>0</v>
      </c>
      <c r="AB225" s="7">
        <v>0</v>
      </c>
      <c r="AC225" s="257">
        <f t="shared" ref="AC225:AC230" si="388">AA225+AB225</f>
        <v>0</v>
      </c>
      <c r="AD225" s="8">
        <f t="shared" si="306"/>
        <v>3260130</v>
      </c>
      <c r="AE225" s="8">
        <f t="shared" si="307"/>
        <v>0</v>
      </c>
      <c r="AF225" s="257">
        <f>SUM(AD225:AE225)</f>
        <v>3260130</v>
      </c>
      <c r="AG225" s="8">
        <v>3260130</v>
      </c>
      <c r="AH225" s="83">
        <v>0</v>
      </c>
      <c r="AI225" s="257">
        <f>SUM(AG225:AH225)</f>
        <v>3260130</v>
      </c>
      <c r="AJ225" s="8">
        <v>0</v>
      </c>
      <c r="AK225" s="64">
        <v>0</v>
      </c>
      <c r="AL225" s="83"/>
      <c r="AM225" s="264">
        <v>0</v>
      </c>
      <c r="AN225" s="83">
        <v>0</v>
      </c>
      <c r="AO225" s="83">
        <v>0</v>
      </c>
      <c r="AP225" s="264">
        <f t="shared" si="380"/>
        <v>0</v>
      </c>
      <c r="AQ225" s="69">
        <f t="shared" si="309"/>
        <v>0</v>
      </c>
      <c r="AR225" s="47"/>
    </row>
    <row r="226" spans="2:49" ht="56.45" customHeight="1">
      <c r="B226" s="35" t="s">
        <v>600</v>
      </c>
      <c r="C226" s="353" t="s">
        <v>606</v>
      </c>
      <c r="D226" s="96"/>
      <c r="E226" s="330" t="s">
        <v>370</v>
      </c>
      <c r="F226" s="330" t="s">
        <v>597</v>
      </c>
      <c r="G226" s="345">
        <v>2024</v>
      </c>
      <c r="H226" s="345">
        <v>2024</v>
      </c>
      <c r="I226" s="8">
        <v>2173420</v>
      </c>
      <c r="J226" s="7">
        <v>0</v>
      </c>
      <c r="K226" s="257">
        <f>SUM(I226:J226)</f>
        <v>2173420</v>
      </c>
      <c r="L226" s="8">
        <v>0</v>
      </c>
      <c r="M226" s="7">
        <v>0</v>
      </c>
      <c r="N226" s="257">
        <f>SUM(L226:M226)</f>
        <v>0</v>
      </c>
      <c r="O226" s="8">
        <v>0</v>
      </c>
      <c r="P226" s="7">
        <v>0</v>
      </c>
      <c r="Q226" s="257">
        <f t="shared" si="302"/>
        <v>0</v>
      </c>
      <c r="R226" s="8">
        <v>0</v>
      </c>
      <c r="S226" s="7">
        <v>0</v>
      </c>
      <c r="T226" s="257">
        <f t="shared" si="303"/>
        <v>0</v>
      </c>
      <c r="U226" s="8">
        <v>0</v>
      </c>
      <c r="V226" s="7">
        <v>0</v>
      </c>
      <c r="W226" s="257">
        <f>SUM(U226:V226)</f>
        <v>0</v>
      </c>
      <c r="X226" s="8">
        <v>0</v>
      </c>
      <c r="Y226" s="7">
        <v>0</v>
      </c>
      <c r="Z226" s="257">
        <f t="shared" si="387"/>
        <v>0</v>
      </c>
      <c r="AA226" s="8">
        <v>0</v>
      </c>
      <c r="AB226" s="7">
        <v>0</v>
      </c>
      <c r="AC226" s="257">
        <f t="shared" si="388"/>
        <v>0</v>
      </c>
      <c r="AD226" s="8">
        <f t="shared" si="306"/>
        <v>2173420</v>
      </c>
      <c r="AE226" s="8">
        <f t="shared" si="307"/>
        <v>0</v>
      </c>
      <c r="AF226" s="257">
        <f>SUM(AD226:AE226)</f>
        <v>2173420</v>
      </c>
      <c r="AG226" s="8">
        <v>2173420</v>
      </c>
      <c r="AH226" s="83">
        <v>0</v>
      </c>
      <c r="AI226" s="257">
        <f>SUM(AG226:AH226)</f>
        <v>2173420</v>
      </c>
      <c r="AJ226" s="8">
        <v>0</v>
      </c>
      <c r="AK226" s="64">
        <v>0</v>
      </c>
      <c r="AL226" s="83"/>
      <c r="AM226" s="264">
        <v>0</v>
      </c>
      <c r="AN226" s="83">
        <v>0</v>
      </c>
      <c r="AO226" s="83">
        <v>0</v>
      </c>
      <c r="AP226" s="264">
        <f t="shared" si="380"/>
        <v>0</v>
      </c>
      <c r="AQ226" s="69">
        <f t="shared" si="309"/>
        <v>0</v>
      </c>
      <c r="AR226" s="47"/>
    </row>
    <row r="227" spans="2:49" ht="76.5" customHeight="1">
      <c r="B227" s="35" t="s">
        <v>601</v>
      </c>
      <c r="C227" s="353" t="s">
        <v>607</v>
      </c>
      <c r="D227" s="96"/>
      <c r="E227" s="330" t="s">
        <v>370</v>
      </c>
      <c r="F227" s="330" t="s">
        <v>597</v>
      </c>
      <c r="G227" s="345">
        <v>2024</v>
      </c>
      <c r="H227" s="345">
        <v>2024</v>
      </c>
      <c r="I227" s="8">
        <v>2173420</v>
      </c>
      <c r="J227" s="7">
        <v>0</v>
      </c>
      <c r="K227" s="257">
        <f t="shared" ref="K227:K230" si="389">SUM(I227:J227)</f>
        <v>2173420</v>
      </c>
      <c r="L227" s="8">
        <v>0</v>
      </c>
      <c r="M227" s="7">
        <v>0</v>
      </c>
      <c r="N227" s="257">
        <f t="shared" ref="N227:N230" si="390">SUM(L227:M227)</f>
        <v>0</v>
      </c>
      <c r="O227" s="8">
        <v>0</v>
      </c>
      <c r="P227" s="7">
        <v>0</v>
      </c>
      <c r="Q227" s="257">
        <f t="shared" si="302"/>
        <v>0</v>
      </c>
      <c r="R227" s="8">
        <v>0</v>
      </c>
      <c r="S227" s="7">
        <v>0</v>
      </c>
      <c r="T227" s="257">
        <f t="shared" si="303"/>
        <v>0</v>
      </c>
      <c r="U227" s="8">
        <v>0</v>
      </c>
      <c r="V227" s="7">
        <v>0</v>
      </c>
      <c r="W227" s="257">
        <f t="shared" ref="W227:W230" si="391">SUM(U227:V227)</f>
        <v>0</v>
      </c>
      <c r="X227" s="8">
        <v>0</v>
      </c>
      <c r="Y227" s="7">
        <v>0</v>
      </c>
      <c r="Z227" s="257">
        <f t="shared" si="387"/>
        <v>0</v>
      </c>
      <c r="AA227" s="8">
        <v>0</v>
      </c>
      <c r="AB227" s="7">
        <v>0</v>
      </c>
      <c r="AC227" s="257">
        <f t="shared" si="388"/>
        <v>0</v>
      </c>
      <c r="AD227" s="8">
        <f t="shared" si="306"/>
        <v>2173420</v>
      </c>
      <c r="AE227" s="8">
        <f t="shared" si="307"/>
        <v>0</v>
      </c>
      <c r="AF227" s="257">
        <f t="shared" ref="AF227:AF230" si="392">SUM(AD227:AE227)</f>
        <v>2173420</v>
      </c>
      <c r="AG227" s="8">
        <v>2173420</v>
      </c>
      <c r="AH227" s="83">
        <v>0</v>
      </c>
      <c r="AI227" s="257">
        <f t="shared" ref="AI227:AI230" si="393">SUM(AG227:AH227)</f>
        <v>2173420</v>
      </c>
      <c r="AJ227" s="8">
        <v>0</v>
      </c>
      <c r="AK227" s="64">
        <v>0</v>
      </c>
      <c r="AL227" s="83"/>
      <c r="AM227" s="264">
        <v>0</v>
      </c>
      <c r="AN227" s="83">
        <v>0</v>
      </c>
      <c r="AO227" s="83">
        <v>0</v>
      </c>
      <c r="AP227" s="264">
        <f t="shared" si="380"/>
        <v>0</v>
      </c>
      <c r="AQ227" s="69">
        <f t="shared" si="309"/>
        <v>0</v>
      </c>
      <c r="AR227" s="47"/>
    </row>
    <row r="228" spans="2:49" ht="43.9" customHeight="1">
      <c r="B228" s="35" t="s">
        <v>602</v>
      </c>
      <c r="C228" s="353" t="s">
        <v>608</v>
      </c>
      <c r="D228" s="96"/>
      <c r="E228" s="330" t="s">
        <v>370</v>
      </c>
      <c r="F228" s="330" t="s">
        <v>597</v>
      </c>
      <c r="G228" s="345">
        <v>2024</v>
      </c>
      <c r="H228" s="345">
        <v>2030</v>
      </c>
      <c r="I228" s="8">
        <v>1086710</v>
      </c>
      <c r="J228" s="7">
        <v>0</v>
      </c>
      <c r="K228" s="257">
        <f t="shared" si="389"/>
        <v>1086710</v>
      </c>
      <c r="L228" s="8">
        <v>1086710</v>
      </c>
      <c r="M228" s="7">
        <v>0</v>
      </c>
      <c r="N228" s="257">
        <f t="shared" si="390"/>
        <v>1086710</v>
      </c>
      <c r="O228" s="8">
        <v>1086710</v>
      </c>
      <c r="P228" s="7">
        <v>0</v>
      </c>
      <c r="Q228" s="257">
        <f t="shared" si="302"/>
        <v>1086710</v>
      </c>
      <c r="R228" s="8">
        <v>1086710</v>
      </c>
      <c r="S228" s="7">
        <v>0</v>
      </c>
      <c r="T228" s="257">
        <f t="shared" si="303"/>
        <v>1086710</v>
      </c>
      <c r="U228" s="8">
        <v>1086710</v>
      </c>
      <c r="V228" s="7">
        <v>0</v>
      </c>
      <c r="W228" s="257">
        <f t="shared" si="391"/>
        <v>1086710</v>
      </c>
      <c r="X228" s="8">
        <v>1086710</v>
      </c>
      <c r="Y228" s="7">
        <v>0</v>
      </c>
      <c r="Z228" s="257">
        <f t="shared" si="387"/>
        <v>1086710</v>
      </c>
      <c r="AA228" s="8">
        <v>1086710</v>
      </c>
      <c r="AB228" s="7">
        <v>0</v>
      </c>
      <c r="AC228" s="257">
        <f t="shared" si="388"/>
        <v>1086710</v>
      </c>
      <c r="AD228" s="8">
        <f t="shared" si="306"/>
        <v>7606970</v>
      </c>
      <c r="AE228" s="8">
        <f t="shared" si="307"/>
        <v>0</v>
      </c>
      <c r="AF228" s="257">
        <f t="shared" si="392"/>
        <v>7606970</v>
      </c>
      <c r="AG228" s="83">
        <f>1086710*3</f>
        <v>3260130</v>
      </c>
      <c r="AH228" s="83">
        <v>0</v>
      </c>
      <c r="AI228" s="257">
        <f t="shared" si="393"/>
        <v>3260130</v>
      </c>
      <c r="AJ228" s="8">
        <v>0</v>
      </c>
      <c r="AK228" s="64">
        <v>0</v>
      </c>
      <c r="AL228" s="83"/>
      <c r="AM228" s="264">
        <v>0</v>
      </c>
      <c r="AN228" s="83">
        <f>1086710*4</f>
        <v>4346840</v>
      </c>
      <c r="AO228" s="83">
        <v>0</v>
      </c>
      <c r="AP228" s="264">
        <f t="shared" si="380"/>
        <v>4346840</v>
      </c>
      <c r="AQ228" s="69">
        <f t="shared" si="309"/>
        <v>0</v>
      </c>
      <c r="AR228" s="47"/>
    </row>
    <row r="229" spans="2:49" ht="66" customHeight="1">
      <c r="B229" s="35" t="s">
        <v>603</v>
      </c>
      <c r="C229" s="353" t="s">
        <v>609</v>
      </c>
      <c r="D229" s="96"/>
      <c r="E229" s="330" t="s">
        <v>370</v>
      </c>
      <c r="F229" s="330"/>
      <c r="G229" s="345">
        <v>2024</v>
      </c>
      <c r="H229" s="345">
        <v>2030</v>
      </c>
      <c r="I229" s="8">
        <v>1086710</v>
      </c>
      <c r="J229" s="7">
        <v>0</v>
      </c>
      <c r="K229" s="257">
        <f t="shared" si="389"/>
        <v>1086710</v>
      </c>
      <c r="L229" s="8">
        <v>1086710</v>
      </c>
      <c r="M229" s="7">
        <v>0</v>
      </c>
      <c r="N229" s="257">
        <f t="shared" si="390"/>
        <v>1086710</v>
      </c>
      <c r="O229" s="8">
        <v>1086710</v>
      </c>
      <c r="P229" s="7">
        <v>0</v>
      </c>
      <c r="Q229" s="257">
        <f t="shared" si="302"/>
        <v>1086710</v>
      </c>
      <c r="R229" s="8">
        <v>1086710</v>
      </c>
      <c r="S229" s="7">
        <v>0</v>
      </c>
      <c r="T229" s="257">
        <f t="shared" si="303"/>
        <v>1086710</v>
      </c>
      <c r="U229" s="8">
        <v>1086710</v>
      </c>
      <c r="V229" s="7">
        <v>0</v>
      </c>
      <c r="W229" s="257">
        <f t="shared" si="391"/>
        <v>1086710</v>
      </c>
      <c r="X229" s="8">
        <v>1086710</v>
      </c>
      <c r="Y229" s="7">
        <v>0</v>
      </c>
      <c r="Z229" s="257">
        <f t="shared" si="387"/>
        <v>1086710</v>
      </c>
      <c r="AA229" s="8">
        <v>1086710</v>
      </c>
      <c r="AB229" s="7">
        <v>0</v>
      </c>
      <c r="AC229" s="257">
        <f t="shared" si="388"/>
        <v>1086710</v>
      </c>
      <c r="AD229" s="8">
        <f t="shared" si="306"/>
        <v>7606970</v>
      </c>
      <c r="AE229" s="8">
        <f t="shared" si="307"/>
        <v>0</v>
      </c>
      <c r="AF229" s="257">
        <f t="shared" si="392"/>
        <v>7606970</v>
      </c>
      <c r="AG229" s="83">
        <f t="shared" ref="AG229:AG230" si="394">1086710*3</f>
        <v>3260130</v>
      </c>
      <c r="AH229" s="83">
        <v>0</v>
      </c>
      <c r="AI229" s="257">
        <f t="shared" si="393"/>
        <v>3260130</v>
      </c>
      <c r="AJ229" s="8">
        <v>0</v>
      </c>
      <c r="AK229" s="64">
        <v>0</v>
      </c>
      <c r="AL229" s="83"/>
      <c r="AM229" s="264">
        <v>0</v>
      </c>
      <c r="AN229" s="83">
        <f t="shared" ref="AN229:AN230" si="395">1086710*4</f>
        <v>4346840</v>
      </c>
      <c r="AO229" s="83"/>
      <c r="AP229" s="264">
        <f t="shared" si="380"/>
        <v>4346840</v>
      </c>
      <c r="AQ229" s="69">
        <f t="shared" si="309"/>
        <v>0</v>
      </c>
      <c r="AR229" s="47"/>
    </row>
    <row r="230" spans="2:49" ht="56.45" customHeight="1" thickBot="1">
      <c r="B230" s="35" t="s">
        <v>613</v>
      </c>
      <c r="C230" s="353" t="s">
        <v>610</v>
      </c>
      <c r="D230" s="96"/>
      <c r="E230" s="330" t="s">
        <v>611</v>
      </c>
      <c r="F230" s="330" t="s">
        <v>612</v>
      </c>
      <c r="G230" s="345">
        <v>2024</v>
      </c>
      <c r="H230" s="345">
        <v>2030</v>
      </c>
      <c r="I230" s="8">
        <v>1086710</v>
      </c>
      <c r="J230" s="7">
        <v>0</v>
      </c>
      <c r="K230" s="257">
        <f t="shared" si="389"/>
        <v>1086710</v>
      </c>
      <c r="L230" s="8">
        <v>1086710</v>
      </c>
      <c r="M230" s="7">
        <v>0</v>
      </c>
      <c r="N230" s="257">
        <f t="shared" si="390"/>
        <v>1086710</v>
      </c>
      <c r="O230" s="8">
        <v>1086710</v>
      </c>
      <c r="P230" s="7">
        <v>0</v>
      </c>
      <c r="Q230" s="257">
        <f t="shared" si="302"/>
        <v>1086710</v>
      </c>
      <c r="R230" s="8">
        <v>1086710</v>
      </c>
      <c r="S230" s="7">
        <v>0</v>
      </c>
      <c r="T230" s="257">
        <f t="shared" si="303"/>
        <v>1086710</v>
      </c>
      <c r="U230" s="8">
        <v>1086710</v>
      </c>
      <c r="V230" s="7">
        <v>0</v>
      </c>
      <c r="W230" s="257">
        <f t="shared" si="391"/>
        <v>1086710</v>
      </c>
      <c r="X230" s="8">
        <v>1086710</v>
      </c>
      <c r="Y230" s="7">
        <v>0</v>
      </c>
      <c r="Z230" s="257">
        <f t="shared" si="387"/>
        <v>1086710</v>
      </c>
      <c r="AA230" s="8">
        <v>1086710</v>
      </c>
      <c r="AB230" s="7">
        <v>0</v>
      </c>
      <c r="AC230" s="257">
        <f t="shared" si="388"/>
        <v>1086710</v>
      </c>
      <c r="AD230" s="8">
        <f t="shared" si="306"/>
        <v>7606970</v>
      </c>
      <c r="AE230" s="8">
        <f t="shared" si="307"/>
        <v>0</v>
      </c>
      <c r="AF230" s="257">
        <f t="shared" si="392"/>
        <v>7606970</v>
      </c>
      <c r="AG230" s="83">
        <f t="shared" si="394"/>
        <v>3260130</v>
      </c>
      <c r="AH230" s="83">
        <v>0</v>
      </c>
      <c r="AI230" s="257">
        <f t="shared" si="393"/>
        <v>3260130</v>
      </c>
      <c r="AJ230" s="8">
        <v>0</v>
      </c>
      <c r="AK230" s="64">
        <v>0</v>
      </c>
      <c r="AL230" s="83"/>
      <c r="AM230" s="264">
        <v>0</v>
      </c>
      <c r="AN230" s="83">
        <f t="shared" si="395"/>
        <v>4346840</v>
      </c>
      <c r="AO230" s="83">
        <v>0</v>
      </c>
      <c r="AP230" s="264">
        <f t="shared" si="380"/>
        <v>4346840</v>
      </c>
      <c r="AQ230" s="69">
        <f t="shared" si="309"/>
        <v>0</v>
      </c>
      <c r="AR230" s="47"/>
    </row>
    <row r="231" spans="2:49" s="4" customFormat="1" ht="30.75" customHeight="1" thickBot="1">
      <c r="B231" s="210"/>
      <c r="C231" s="237" t="s">
        <v>97</v>
      </c>
      <c r="D231" s="217"/>
      <c r="E231" s="210"/>
      <c r="F231" s="210"/>
      <c r="G231" s="210"/>
      <c r="H231" s="210"/>
      <c r="I231" s="238">
        <f>SUM(I218,I222,I224)</f>
        <v>14127230</v>
      </c>
      <c r="J231" s="238">
        <f t="shared" ref="J231:AK231" si="396">SUM(J218,J222,J224)</f>
        <v>0</v>
      </c>
      <c r="K231" s="82">
        <f t="shared" si="396"/>
        <v>14127230</v>
      </c>
      <c r="L231" s="82">
        <f t="shared" si="396"/>
        <v>8693680</v>
      </c>
      <c r="M231" s="82">
        <f t="shared" si="396"/>
        <v>0</v>
      </c>
      <c r="N231" s="82">
        <f t="shared" si="396"/>
        <v>8693680</v>
      </c>
      <c r="O231" s="82">
        <f t="shared" si="396"/>
        <v>7606970</v>
      </c>
      <c r="P231" s="82">
        <f t="shared" si="396"/>
        <v>0</v>
      </c>
      <c r="Q231" s="82">
        <f t="shared" si="396"/>
        <v>7606970</v>
      </c>
      <c r="R231" s="82">
        <f t="shared" si="396"/>
        <v>7606970</v>
      </c>
      <c r="S231" s="82">
        <f t="shared" si="396"/>
        <v>0</v>
      </c>
      <c r="T231" s="82">
        <f t="shared" si="396"/>
        <v>7606970</v>
      </c>
      <c r="U231" s="82">
        <f t="shared" si="396"/>
        <v>7606970</v>
      </c>
      <c r="V231" s="82">
        <f t="shared" si="396"/>
        <v>0</v>
      </c>
      <c r="W231" s="82">
        <f t="shared" si="396"/>
        <v>7606970</v>
      </c>
      <c r="X231" s="82">
        <f t="shared" si="396"/>
        <v>7606970</v>
      </c>
      <c r="Y231" s="82">
        <f t="shared" si="396"/>
        <v>0</v>
      </c>
      <c r="Z231" s="82">
        <f t="shared" si="396"/>
        <v>7606970</v>
      </c>
      <c r="AA231" s="82">
        <f t="shared" si="396"/>
        <v>7606970</v>
      </c>
      <c r="AB231" s="82">
        <f t="shared" si="396"/>
        <v>0</v>
      </c>
      <c r="AC231" s="82">
        <f t="shared" si="396"/>
        <v>7606970</v>
      </c>
      <c r="AD231" s="82">
        <f t="shared" si="396"/>
        <v>60855760</v>
      </c>
      <c r="AE231" s="82">
        <f t="shared" si="396"/>
        <v>0</v>
      </c>
      <c r="AF231" s="82">
        <f t="shared" si="396"/>
        <v>60855760</v>
      </c>
      <c r="AG231" s="82">
        <f t="shared" si="396"/>
        <v>30427880</v>
      </c>
      <c r="AH231" s="82">
        <f t="shared" si="396"/>
        <v>0</v>
      </c>
      <c r="AI231" s="82">
        <f t="shared" si="396"/>
        <v>30427880</v>
      </c>
      <c r="AJ231" s="82">
        <f t="shared" si="396"/>
        <v>0</v>
      </c>
      <c r="AK231" s="82">
        <f t="shared" si="396"/>
        <v>0</v>
      </c>
      <c r="AL231" s="82"/>
      <c r="AM231" s="82">
        <f t="shared" ref="AM231:AQ231" si="397">SUM(AM218,AM222,AM224)</f>
        <v>0</v>
      </c>
      <c r="AN231" s="82">
        <f t="shared" si="397"/>
        <v>30427880</v>
      </c>
      <c r="AO231" s="82">
        <f t="shared" si="397"/>
        <v>0</v>
      </c>
      <c r="AP231" s="82">
        <f t="shared" si="397"/>
        <v>30427880</v>
      </c>
      <c r="AQ231" s="86">
        <f t="shared" si="397"/>
        <v>0</v>
      </c>
      <c r="AR231" s="48"/>
      <c r="AS231" s="13"/>
      <c r="AT231" s="13"/>
      <c r="AU231" s="13"/>
      <c r="AV231" s="13"/>
      <c r="AW231" s="13"/>
    </row>
    <row r="232" spans="2:49" ht="51.6" customHeight="1">
      <c r="B232" s="493">
        <v>2.4</v>
      </c>
      <c r="C232" s="869" t="s">
        <v>614</v>
      </c>
      <c r="D232" s="870"/>
      <c r="E232" s="228"/>
      <c r="F232" s="228"/>
      <c r="G232" s="228"/>
      <c r="H232" s="228"/>
      <c r="I232" s="305"/>
      <c r="J232" s="305"/>
      <c r="K232" s="103"/>
      <c r="L232" s="103"/>
      <c r="M232" s="103"/>
      <c r="N232" s="103"/>
      <c r="O232" s="103"/>
      <c r="P232" s="103"/>
      <c r="Q232" s="103"/>
      <c r="R232" s="103"/>
      <c r="S232" s="103"/>
      <c r="T232" s="103"/>
      <c r="U232" s="103"/>
      <c r="V232" s="103"/>
      <c r="W232" s="103"/>
      <c r="X232" s="103"/>
      <c r="Y232" s="103"/>
      <c r="Z232" s="103"/>
      <c r="AA232" s="103"/>
      <c r="AB232" s="103"/>
      <c r="AC232" s="103"/>
      <c r="AD232" s="103"/>
      <c r="AE232" s="103"/>
      <c r="AF232" s="103"/>
      <c r="AG232" s="103"/>
      <c r="AH232" s="103"/>
      <c r="AI232" s="103"/>
      <c r="AJ232" s="103"/>
      <c r="AK232" s="103"/>
      <c r="AL232" s="103"/>
      <c r="AM232" s="103"/>
      <c r="AN232" s="103"/>
      <c r="AO232" s="103"/>
      <c r="AP232" s="103"/>
      <c r="AQ232" s="104"/>
      <c r="AR232" s="47"/>
      <c r="AS232" s="14"/>
      <c r="AT232" s="14"/>
      <c r="AU232" s="14"/>
      <c r="AV232" s="14"/>
      <c r="AW232" s="14"/>
    </row>
    <row r="233" spans="2:49" ht="22.9" customHeight="1">
      <c r="B233" s="98"/>
      <c r="C233" s="62" t="s">
        <v>68</v>
      </c>
      <c r="D233" s="92"/>
      <c r="E233" s="93"/>
      <c r="F233" s="93"/>
      <c r="G233" s="93"/>
      <c r="H233" s="93"/>
      <c r="I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69"/>
      <c r="AR233" s="47"/>
    </row>
    <row r="234" spans="2:49" ht="104.45" customHeight="1">
      <c r="B234" s="208" t="s">
        <v>197</v>
      </c>
      <c r="C234" s="268" t="s">
        <v>615</v>
      </c>
      <c r="D234" s="206"/>
      <c r="E234" s="186" t="s">
        <v>620</v>
      </c>
      <c r="F234" s="186"/>
      <c r="G234" s="207">
        <v>2024</v>
      </c>
      <c r="H234" s="195">
        <v>2030</v>
      </c>
      <c r="I234" s="189">
        <f>SUM(I235:I238)</f>
        <v>4346840</v>
      </c>
      <c r="J234" s="189">
        <f>SUM(J235:J238)</f>
        <v>0</v>
      </c>
      <c r="K234" s="212">
        <f>I234+J234</f>
        <v>4346840</v>
      </c>
      <c r="L234" s="189">
        <f>SUM(L235:L238)</f>
        <v>4346840</v>
      </c>
      <c r="M234" s="189">
        <f>SUM(M235:M238)</f>
        <v>0</v>
      </c>
      <c r="N234" s="212">
        <f>L234+M234</f>
        <v>4346840</v>
      </c>
      <c r="O234" s="189">
        <f>SUM(O235:O238)</f>
        <v>7606970</v>
      </c>
      <c r="P234" s="189">
        <f>SUM(P235:P238)</f>
        <v>0</v>
      </c>
      <c r="Q234" s="212">
        <f>O234+P234</f>
        <v>7606970</v>
      </c>
      <c r="R234" s="189">
        <f>SUM(R235:R238)</f>
        <v>4346840</v>
      </c>
      <c r="S234" s="189">
        <f>SUM(S235:S238)</f>
        <v>0</v>
      </c>
      <c r="T234" s="212">
        <f>R234+S234</f>
        <v>4346840</v>
      </c>
      <c r="U234" s="189">
        <f>SUM(U235:U238)</f>
        <v>4346840</v>
      </c>
      <c r="V234" s="189">
        <f>SUM(V235:V238)</f>
        <v>0</v>
      </c>
      <c r="W234" s="212">
        <f>U234+V234</f>
        <v>4346840</v>
      </c>
      <c r="X234" s="212">
        <f>SUM(X235:X238)</f>
        <v>4346840</v>
      </c>
      <c r="Y234" s="212">
        <f>SUM(Y235:Y238)</f>
        <v>0</v>
      </c>
      <c r="Z234" s="212">
        <f t="shared" ref="Z234:Z250" si="398">X234+Y234</f>
        <v>4346840</v>
      </c>
      <c r="AA234" s="212">
        <f>SUM(AA235:AA238)</f>
        <v>4346840</v>
      </c>
      <c r="AB234" s="212">
        <f>SUM(AB235:AB238)</f>
        <v>0</v>
      </c>
      <c r="AC234" s="212">
        <f t="shared" ref="AC234:AC250" si="399">AA234+AB234</f>
        <v>4346840</v>
      </c>
      <c r="AD234" s="212">
        <f t="shared" ref="AD234:AE249" si="400">I234+L234+O234+R234+U234+X234+AA234</f>
        <v>33688010</v>
      </c>
      <c r="AE234" s="212">
        <f t="shared" si="400"/>
        <v>0</v>
      </c>
      <c r="AF234" s="212">
        <f t="shared" ref="AF234:AF238" si="401">AD234+AE234</f>
        <v>33688010</v>
      </c>
      <c r="AG234" s="189">
        <f>SUM(AG235:AG238)</f>
        <v>16300650</v>
      </c>
      <c r="AH234" s="189">
        <f>SUM(AH235:AH238)</f>
        <v>0</v>
      </c>
      <c r="AI234" s="212">
        <f>AG234+AH234</f>
        <v>16300650</v>
      </c>
      <c r="AJ234" s="189">
        <f>SUM(AJ235:AJ238)</f>
        <v>0</v>
      </c>
      <c r="AK234" s="189">
        <f>SUM(AK235:AK238)</f>
        <v>0</v>
      </c>
      <c r="AL234" s="212"/>
      <c r="AM234" s="197">
        <f>AJ234+AK234</f>
        <v>0</v>
      </c>
      <c r="AN234" s="189">
        <f>SUM(AN235:AN238)</f>
        <v>17387360</v>
      </c>
      <c r="AO234" s="189">
        <f>SUM(AO235:AO238)</f>
        <v>0</v>
      </c>
      <c r="AP234" s="197">
        <f>SUM(AN234:AO234)</f>
        <v>17387360</v>
      </c>
      <c r="AQ234" s="193">
        <f>SUM(AP234+AM234+AI234)-AF234</f>
        <v>0</v>
      </c>
      <c r="AR234" s="47"/>
    </row>
    <row r="235" spans="2:49" ht="45" customHeight="1">
      <c r="B235" s="98" t="s">
        <v>198</v>
      </c>
      <c r="C235" s="745" t="s">
        <v>617</v>
      </c>
      <c r="D235" s="96"/>
      <c r="E235" s="325" t="s">
        <v>620</v>
      </c>
      <c r="F235" s="1"/>
      <c r="G235" s="344">
        <v>2024</v>
      </c>
      <c r="H235" s="344">
        <v>2030</v>
      </c>
      <c r="I235" s="7">
        <v>1086710</v>
      </c>
      <c r="J235" s="7">
        <v>0</v>
      </c>
      <c r="K235" s="269">
        <f t="shared" ref="K235:K238" si="402">I235+J235</f>
        <v>1086710</v>
      </c>
      <c r="L235" s="7">
        <v>1086710</v>
      </c>
      <c r="M235" s="7">
        <v>0</v>
      </c>
      <c r="N235" s="269">
        <f t="shared" ref="N235:N238" si="403">SUM(L235:M235)</f>
        <v>1086710</v>
      </c>
      <c r="O235" s="7">
        <v>1086710</v>
      </c>
      <c r="P235" s="7">
        <v>0</v>
      </c>
      <c r="Q235" s="269">
        <f t="shared" ref="Q235:Q238" si="404">SUM(O235:P235)</f>
        <v>1086710</v>
      </c>
      <c r="R235" s="7">
        <v>1086710</v>
      </c>
      <c r="S235" s="7">
        <v>0</v>
      </c>
      <c r="T235" s="269">
        <f t="shared" ref="T235:T238" si="405">SUM(R235:S235)</f>
        <v>1086710</v>
      </c>
      <c r="U235" s="7">
        <v>1086710</v>
      </c>
      <c r="V235" s="7">
        <v>0</v>
      </c>
      <c r="W235" s="269">
        <f t="shared" ref="W235:W238" si="406">SUM(U235:V235)</f>
        <v>1086710</v>
      </c>
      <c r="X235" s="7">
        <v>1086710</v>
      </c>
      <c r="Y235" s="7">
        <v>0</v>
      </c>
      <c r="Z235" s="269">
        <f t="shared" si="398"/>
        <v>1086710</v>
      </c>
      <c r="AA235" s="7">
        <v>1086710</v>
      </c>
      <c r="AB235" s="7">
        <v>0</v>
      </c>
      <c r="AC235" s="269">
        <f t="shared" si="399"/>
        <v>1086710</v>
      </c>
      <c r="AD235" s="106">
        <f t="shared" si="400"/>
        <v>7606970</v>
      </c>
      <c r="AE235" s="106">
        <f t="shared" si="400"/>
        <v>0</v>
      </c>
      <c r="AF235" s="269">
        <f t="shared" si="401"/>
        <v>7606970</v>
      </c>
      <c r="AG235" s="83">
        <f>1086710*3</f>
        <v>3260130</v>
      </c>
      <c r="AH235" s="8">
        <f t="shared" ref="AH235:AH238" si="407">M235+P235+S235+V235+AE235</f>
        <v>0</v>
      </c>
      <c r="AI235" s="269">
        <f t="shared" ref="AI235:AI238" si="408">SUM(AG235:AH235)</f>
        <v>3260130</v>
      </c>
      <c r="AJ235" s="8">
        <v>0</v>
      </c>
      <c r="AK235" s="64">
        <v>0</v>
      </c>
      <c r="AL235" s="105"/>
      <c r="AM235" s="264">
        <v>0</v>
      </c>
      <c r="AN235" s="106">
        <f>1086710*4</f>
        <v>4346840</v>
      </c>
      <c r="AO235" s="105">
        <v>0</v>
      </c>
      <c r="AP235" s="264">
        <f t="shared" ref="AP235:AP238" si="409">SUM(AN235:AO235)</f>
        <v>4346840</v>
      </c>
      <c r="AQ235" s="69">
        <f t="shared" ref="AQ235:AQ238" si="410">SUM(AP235+AM235+AI235)-AF235</f>
        <v>0</v>
      </c>
      <c r="AR235" s="47"/>
    </row>
    <row r="236" spans="2:49" ht="46.15" customHeight="1">
      <c r="B236" s="98" t="s">
        <v>199</v>
      </c>
      <c r="C236" s="746" t="s">
        <v>618</v>
      </c>
      <c r="D236" s="96"/>
      <c r="E236" s="39" t="s">
        <v>620</v>
      </c>
      <c r="F236" s="1"/>
      <c r="G236" s="345">
        <v>2024</v>
      </c>
      <c r="H236" s="345">
        <v>2030</v>
      </c>
      <c r="I236" s="7">
        <v>1086710</v>
      </c>
      <c r="J236" s="7">
        <v>0</v>
      </c>
      <c r="K236" s="269">
        <f t="shared" si="402"/>
        <v>1086710</v>
      </c>
      <c r="L236" s="7">
        <v>1086710</v>
      </c>
      <c r="M236" s="7">
        <v>0</v>
      </c>
      <c r="N236" s="269">
        <f t="shared" si="403"/>
        <v>1086710</v>
      </c>
      <c r="O236" s="7">
        <v>1086710</v>
      </c>
      <c r="P236" s="7">
        <v>0</v>
      </c>
      <c r="Q236" s="269">
        <f t="shared" si="404"/>
        <v>1086710</v>
      </c>
      <c r="R236" s="7">
        <v>1086710</v>
      </c>
      <c r="S236" s="7">
        <v>0</v>
      </c>
      <c r="T236" s="269">
        <f t="shared" si="405"/>
        <v>1086710</v>
      </c>
      <c r="U236" s="7">
        <v>1086710</v>
      </c>
      <c r="V236" s="7">
        <v>0</v>
      </c>
      <c r="W236" s="269">
        <f t="shared" si="406"/>
        <v>1086710</v>
      </c>
      <c r="X236" s="7">
        <v>1086710</v>
      </c>
      <c r="Y236" s="7">
        <v>0</v>
      </c>
      <c r="Z236" s="269">
        <f t="shared" si="398"/>
        <v>1086710</v>
      </c>
      <c r="AA236" s="7">
        <v>1086710</v>
      </c>
      <c r="AB236" s="7">
        <v>0</v>
      </c>
      <c r="AC236" s="269">
        <f t="shared" si="399"/>
        <v>1086710</v>
      </c>
      <c r="AD236" s="106">
        <f t="shared" si="400"/>
        <v>7606970</v>
      </c>
      <c r="AE236" s="106">
        <f t="shared" si="400"/>
        <v>0</v>
      </c>
      <c r="AF236" s="269">
        <f t="shared" si="401"/>
        <v>7606970</v>
      </c>
      <c r="AG236" s="83">
        <f>1086710*3</f>
        <v>3260130</v>
      </c>
      <c r="AH236" s="8">
        <f t="shared" si="407"/>
        <v>0</v>
      </c>
      <c r="AI236" s="269">
        <f t="shared" si="408"/>
        <v>3260130</v>
      </c>
      <c r="AJ236" s="8">
        <v>0</v>
      </c>
      <c r="AK236" s="64">
        <v>0</v>
      </c>
      <c r="AL236" s="105"/>
      <c r="AM236" s="264">
        <v>0</v>
      </c>
      <c r="AN236" s="106">
        <f>1086710*4</f>
        <v>4346840</v>
      </c>
      <c r="AO236" s="105">
        <v>0</v>
      </c>
      <c r="AP236" s="264">
        <f t="shared" si="409"/>
        <v>4346840</v>
      </c>
      <c r="AQ236" s="69">
        <f t="shared" si="410"/>
        <v>0</v>
      </c>
      <c r="AR236" s="47"/>
    </row>
    <row r="237" spans="2:49" ht="76.150000000000006" customHeight="1">
      <c r="B237" s="98" t="s">
        <v>616</v>
      </c>
      <c r="C237" s="391" t="s">
        <v>619</v>
      </c>
      <c r="D237" s="96"/>
      <c r="E237" s="39" t="s">
        <v>620</v>
      </c>
      <c r="F237" s="1"/>
      <c r="G237" s="345">
        <v>2027</v>
      </c>
      <c r="H237" s="345">
        <v>2027</v>
      </c>
      <c r="I237" s="7">
        <v>0</v>
      </c>
      <c r="J237" s="7">
        <v>0</v>
      </c>
      <c r="K237" s="269">
        <f t="shared" si="402"/>
        <v>0</v>
      </c>
      <c r="L237" s="7">
        <v>0</v>
      </c>
      <c r="M237" s="7">
        <v>0</v>
      </c>
      <c r="N237" s="269">
        <f t="shared" si="403"/>
        <v>0</v>
      </c>
      <c r="O237" s="106">
        <v>3260130</v>
      </c>
      <c r="P237" s="7">
        <v>0</v>
      </c>
      <c r="Q237" s="269">
        <f t="shared" si="404"/>
        <v>3260130</v>
      </c>
      <c r="R237" s="106">
        <v>0</v>
      </c>
      <c r="S237" s="105">
        <v>0</v>
      </c>
      <c r="T237" s="269">
        <f t="shared" si="405"/>
        <v>0</v>
      </c>
      <c r="U237" s="106">
        <v>0</v>
      </c>
      <c r="V237" s="105">
        <v>0</v>
      </c>
      <c r="W237" s="269">
        <f t="shared" si="406"/>
        <v>0</v>
      </c>
      <c r="X237" s="105">
        <v>0</v>
      </c>
      <c r="Y237" s="105">
        <v>0</v>
      </c>
      <c r="Z237" s="269">
        <f t="shared" si="398"/>
        <v>0</v>
      </c>
      <c r="AA237" s="105">
        <v>0</v>
      </c>
      <c r="AB237" s="105">
        <v>0</v>
      </c>
      <c r="AC237" s="269">
        <f t="shared" si="399"/>
        <v>0</v>
      </c>
      <c r="AD237" s="106">
        <f t="shared" si="400"/>
        <v>3260130</v>
      </c>
      <c r="AE237" s="106">
        <f t="shared" si="400"/>
        <v>0</v>
      </c>
      <c r="AF237" s="269">
        <f t="shared" si="401"/>
        <v>3260130</v>
      </c>
      <c r="AG237" s="83">
        <v>3260130</v>
      </c>
      <c r="AH237" s="8">
        <f t="shared" si="407"/>
        <v>0</v>
      </c>
      <c r="AI237" s="269">
        <f t="shared" si="408"/>
        <v>3260130</v>
      </c>
      <c r="AJ237" s="8">
        <v>0</v>
      </c>
      <c r="AK237" s="64">
        <v>0</v>
      </c>
      <c r="AL237" s="105"/>
      <c r="AM237" s="264">
        <v>0</v>
      </c>
      <c r="AN237" s="106">
        <v>0</v>
      </c>
      <c r="AO237" s="105">
        <v>0</v>
      </c>
      <c r="AP237" s="264">
        <f t="shared" si="409"/>
        <v>0</v>
      </c>
      <c r="AQ237" s="69">
        <f t="shared" si="410"/>
        <v>0</v>
      </c>
      <c r="AR237" s="47"/>
    </row>
    <row r="238" spans="2:49" ht="58.9" customHeight="1">
      <c r="B238" s="173" t="s">
        <v>255</v>
      </c>
      <c r="C238" s="392" t="s">
        <v>1569</v>
      </c>
      <c r="D238" s="174"/>
      <c r="E238" s="167" t="s">
        <v>620</v>
      </c>
      <c r="F238" s="168"/>
      <c r="G238" s="346">
        <v>2024</v>
      </c>
      <c r="H238" s="346">
        <v>2030</v>
      </c>
      <c r="I238" s="169">
        <v>2173420</v>
      </c>
      <c r="J238" s="169">
        <v>0</v>
      </c>
      <c r="K238" s="269">
        <f t="shared" si="402"/>
        <v>2173420</v>
      </c>
      <c r="L238" s="169">
        <v>2173420</v>
      </c>
      <c r="M238" s="169">
        <v>0</v>
      </c>
      <c r="N238" s="269">
        <f t="shared" si="403"/>
        <v>2173420</v>
      </c>
      <c r="O238" s="169">
        <v>2173420</v>
      </c>
      <c r="P238" s="169">
        <v>0</v>
      </c>
      <c r="Q238" s="269">
        <f t="shared" si="404"/>
        <v>2173420</v>
      </c>
      <c r="R238" s="169">
        <v>2173420</v>
      </c>
      <c r="S238" s="169">
        <v>0</v>
      </c>
      <c r="T238" s="269">
        <f t="shared" si="405"/>
        <v>2173420</v>
      </c>
      <c r="U238" s="169">
        <v>2173420</v>
      </c>
      <c r="V238" s="169">
        <v>0</v>
      </c>
      <c r="W238" s="269">
        <f t="shared" si="406"/>
        <v>2173420</v>
      </c>
      <c r="X238" s="169">
        <v>2173420</v>
      </c>
      <c r="Y238" s="169">
        <v>0</v>
      </c>
      <c r="Z238" s="269">
        <f t="shared" si="398"/>
        <v>2173420</v>
      </c>
      <c r="AA238" s="169">
        <v>2173420</v>
      </c>
      <c r="AB238" s="169">
        <v>0</v>
      </c>
      <c r="AC238" s="269">
        <f t="shared" si="399"/>
        <v>2173420</v>
      </c>
      <c r="AD238" s="106">
        <f t="shared" si="400"/>
        <v>15213940</v>
      </c>
      <c r="AE238" s="106">
        <f t="shared" si="400"/>
        <v>0</v>
      </c>
      <c r="AF238" s="269">
        <f t="shared" si="401"/>
        <v>15213940</v>
      </c>
      <c r="AG238" s="83">
        <f>2173420*3</f>
        <v>6520260</v>
      </c>
      <c r="AH238" s="8">
        <f t="shared" si="407"/>
        <v>0</v>
      </c>
      <c r="AI238" s="269">
        <f t="shared" si="408"/>
        <v>6520260</v>
      </c>
      <c r="AJ238" s="8">
        <v>0</v>
      </c>
      <c r="AK238" s="64">
        <v>0</v>
      </c>
      <c r="AL238" s="105"/>
      <c r="AM238" s="264">
        <v>0</v>
      </c>
      <c r="AN238" s="106">
        <f>2173420*4</f>
        <v>8693680</v>
      </c>
      <c r="AO238" s="105">
        <v>0</v>
      </c>
      <c r="AP238" s="264">
        <f t="shared" si="409"/>
        <v>8693680</v>
      </c>
      <c r="AQ238" s="69">
        <f t="shared" si="410"/>
        <v>0</v>
      </c>
      <c r="AR238" s="47"/>
    </row>
    <row r="239" spans="2:49" ht="90.6" customHeight="1">
      <c r="B239" s="213" t="s">
        <v>200</v>
      </c>
      <c r="C239" s="258" t="s">
        <v>622</v>
      </c>
      <c r="D239" s="209"/>
      <c r="E239" s="192" t="s">
        <v>541</v>
      </c>
      <c r="F239" s="192" t="s">
        <v>620</v>
      </c>
      <c r="G239" s="185">
        <v>2024</v>
      </c>
      <c r="H239" s="185">
        <v>2030</v>
      </c>
      <c r="I239" s="189">
        <f>SUM(I240:I245)</f>
        <v>2173420</v>
      </c>
      <c r="J239" s="189">
        <f>SUM(J240:J245)</f>
        <v>0</v>
      </c>
      <c r="K239" s="212">
        <f>I239+J239</f>
        <v>2173420</v>
      </c>
      <c r="L239" s="189">
        <f>SUM(L240:L245)</f>
        <v>10860390</v>
      </c>
      <c r="M239" s="189">
        <f>SUM(M240:M245)</f>
        <v>0</v>
      </c>
      <c r="N239" s="212">
        <f>L239+M239</f>
        <v>10860390</v>
      </c>
      <c r="O239" s="189">
        <f>SUM(O240:O245)</f>
        <v>3260130</v>
      </c>
      <c r="P239" s="189">
        <f>SUM(P240:P245)</f>
        <v>0</v>
      </c>
      <c r="Q239" s="212">
        <f>O239+P239</f>
        <v>3260130</v>
      </c>
      <c r="R239" s="189">
        <f>SUM(R240:R245)</f>
        <v>2173420</v>
      </c>
      <c r="S239" s="189">
        <f>SUM(S240:S245)</f>
        <v>0</v>
      </c>
      <c r="T239" s="212">
        <f>R239+S239</f>
        <v>2173420</v>
      </c>
      <c r="U239" s="189">
        <f>SUM(U240:U245)</f>
        <v>2173420</v>
      </c>
      <c r="V239" s="189">
        <f>SUM(V240:V245)</f>
        <v>0</v>
      </c>
      <c r="W239" s="212">
        <f>U239+V239</f>
        <v>2173420</v>
      </c>
      <c r="X239" s="212">
        <f>SUM(X240:X245)</f>
        <v>2173420</v>
      </c>
      <c r="Y239" s="212">
        <f>SUM(Y240:Y245)</f>
        <v>0</v>
      </c>
      <c r="Z239" s="212">
        <f t="shared" si="398"/>
        <v>2173420</v>
      </c>
      <c r="AA239" s="212">
        <f>SUM(AA240:AA245)</f>
        <v>2173420</v>
      </c>
      <c r="AB239" s="212">
        <f>SUM(AB240:AB245)</f>
        <v>0</v>
      </c>
      <c r="AC239" s="212">
        <f t="shared" si="399"/>
        <v>2173420</v>
      </c>
      <c r="AD239" s="212">
        <f t="shared" si="400"/>
        <v>24987620</v>
      </c>
      <c r="AE239" s="212">
        <f t="shared" si="400"/>
        <v>0</v>
      </c>
      <c r="AF239" s="212">
        <f t="shared" ref="AF239:AF246" si="411">AD239+AE239</f>
        <v>24987620</v>
      </c>
      <c r="AG239" s="189">
        <f>SUM(AG240:AG245)</f>
        <v>16293940</v>
      </c>
      <c r="AH239" s="189">
        <f>SUM(AH240:AH245)</f>
        <v>0</v>
      </c>
      <c r="AI239" s="212">
        <f>AG239+AH239</f>
        <v>16293940</v>
      </c>
      <c r="AJ239" s="189">
        <f>SUM(AJ240:AJ245)</f>
        <v>0</v>
      </c>
      <c r="AK239" s="189">
        <f>SUM(AK240:AK245)</f>
        <v>0</v>
      </c>
      <c r="AL239" s="212"/>
      <c r="AM239" s="197">
        <f t="shared" ref="AM239:AM250" si="412">AJ239+AK239</f>
        <v>0</v>
      </c>
      <c r="AN239" s="189">
        <f>SUM(AN240:AN245)</f>
        <v>8693680</v>
      </c>
      <c r="AO239" s="189">
        <f>SUM(AO240:AO245)</f>
        <v>0</v>
      </c>
      <c r="AP239" s="197">
        <f t="shared" ref="AP239:AP250" si="413">SUM(AN239:AO239)</f>
        <v>8693680</v>
      </c>
      <c r="AQ239" s="211">
        <f>SUM(AP239+AM239+AI239)-AF239</f>
        <v>0</v>
      </c>
      <c r="AR239" s="47"/>
    </row>
    <row r="240" spans="2:49" ht="75" customHeight="1">
      <c r="B240" s="52" t="s">
        <v>201</v>
      </c>
      <c r="C240" s="353" t="s">
        <v>623</v>
      </c>
      <c r="D240" s="99"/>
      <c r="E240" s="39" t="s">
        <v>541</v>
      </c>
      <c r="F240" s="39" t="s">
        <v>620</v>
      </c>
      <c r="G240" s="425" t="s">
        <v>468</v>
      </c>
      <c r="H240" s="425" t="s">
        <v>468</v>
      </c>
      <c r="I240" s="7">
        <v>0</v>
      </c>
      <c r="J240" s="7">
        <v>0</v>
      </c>
      <c r="K240" s="269">
        <f>SUM(I240:J240)</f>
        <v>0</v>
      </c>
      <c r="L240" s="7">
        <v>2173420</v>
      </c>
      <c r="M240" s="7">
        <v>0</v>
      </c>
      <c r="N240" s="269">
        <f>SUM(L240:M240)</f>
        <v>2173420</v>
      </c>
      <c r="O240" s="106">
        <v>0</v>
      </c>
      <c r="P240" s="7">
        <v>0</v>
      </c>
      <c r="Q240" s="269">
        <f>SUM(O240:P240)</f>
        <v>0</v>
      </c>
      <c r="R240" s="106">
        <v>0</v>
      </c>
      <c r="S240" s="105">
        <v>0</v>
      </c>
      <c r="T240" s="269">
        <f>SUM(R240:S240)</f>
        <v>0</v>
      </c>
      <c r="U240" s="106">
        <v>0</v>
      </c>
      <c r="V240" s="105">
        <v>0</v>
      </c>
      <c r="W240" s="269">
        <f>SUM(U240:V240)</f>
        <v>0</v>
      </c>
      <c r="X240" s="105">
        <v>0</v>
      </c>
      <c r="Y240" s="105">
        <v>0</v>
      </c>
      <c r="Z240" s="269">
        <f t="shared" si="398"/>
        <v>0</v>
      </c>
      <c r="AA240" s="105">
        <v>0</v>
      </c>
      <c r="AB240" s="105">
        <v>0</v>
      </c>
      <c r="AC240" s="269">
        <f t="shared" si="399"/>
        <v>0</v>
      </c>
      <c r="AD240" s="106">
        <f t="shared" si="400"/>
        <v>2173420</v>
      </c>
      <c r="AE240" s="106">
        <f t="shared" si="400"/>
        <v>0</v>
      </c>
      <c r="AF240" s="269">
        <f t="shared" si="411"/>
        <v>2173420</v>
      </c>
      <c r="AG240" s="83">
        <v>2173420</v>
      </c>
      <c r="AH240" s="8">
        <f>M240+P240+S240+V240+AE240</f>
        <v>0</v>
      </c>
      <c r="AI240" s="269">
        <f>SUM(AG240:AH240)</f>
        <v>2173420</v>
      </c>
      <c r="AJ240" s="8">
        <v>0</v>
      </c>
      <c r="AK240" s="64">
        <v>0</v>
      </c>
      <c r="AL240" s="105"/>
      <c r="AM240" s="264">
        <f t="shared" si="412"/>
        <v>0</v>
      </c>
      <c r="AN240" s="106">
        <v>0</v>
      </c>
      <c r="AO240" s="105">
        <v>0</v>
      </c>
      <c r="AP240" s="264">
        <f t="shared" si="413"/>
        <v>0</v>
      </c>
      <c r="AQ240" s="69">
        <f>SUM(AP240+AM240+AI240)-AF240</f>
        <v>0</v>
      </c>
      <c r="AR240" s="47"/>
    </row>
    <row r="241" spans="2:44" ht="81.599999999999994" customHeight="1">
      <c r="B241" s="52" t="s">
        <v>202</v>
      </c>
      <c r="C241" s="353" t="s">
        <v>624</v>
      </c>
      <c r="D241" s="99"/>
      <c r="E241" s="39" t="s">
        <v>541</v>
      </c>
      <c r="F241" s="39"/>
      <c r="G241" s="425" t="s">
        <v>629</v>
      </c>
      <c r="H241" s="425" t="s">
        <v>358</v>
      </c>
      <c r="I241" s="7">
        <v>2173420</v>
      </c>
      <c r="J241" s="7">
        <v>0</v>
      </c>
      <c r="K241" s="269">
        <f>SUM(I241:J241)</f>
        <v>2173420</v>
      </c>
      <c r="L241" s="7">
        <v>3260130</v>
      </c>
      <c r="M241" s="7">
        <v>0</v>
      </c>
      <c r="N241" s="269">
        <f>SUM(L241:M241)</f>
        <v>3260130</v>
      </c>
      <c r="O241" s="106">
        <v>0</v>
      </c>
      <c r="P241" s="7">
        <v>0</v>
      </c>
      <c r="Q241" s="269">
        <f>SUM(O241:P241)</f>
        <v>0</v>
      </c>
      <c r="R241" s="106">
        <v>0</v>
      </c>
      <c r="S241" s="105">
        <v>0</v>
      </c>
      <c r="T241" s="269">
        <f>SUM(R241:S241)</f>
        <v>0</v>
      </c>
      <c r="U241" s="106">
        <v>0</v>
      </c>
      <c r="V241" s="105">
        <v>0</v>
      </c>
      <c r="W241" s="269">
        <f>SUM(U241:V241)</f>
        <v>0</v>
      </c>
      <c r="X241" s="105">
        <v>0</v>
      </c>
      <c r="Y241" s="105">
        <v>0</v>
      </c>
      <c r="Z241" s="269">
        <f t="shared" si="398"/>
        <v>0</v>
      </c>
      <c r="AA241" s="105">
        <v>0</v>
      </c>
      <c r="AB241" s="105">
        <v>0</v>
      </c>
      <c r="AC241" s="269">
        <f t="shared" si="399"/>
        <v>0</v>
      </c>
      <c r="AD241" s="106">
        <f t="shared" si="400"/>
        <v>5433550</v>
      </c>
      <c r="AE241" s="106">
        <f t="shared" si="400"/>
        <v>0</v>
      </c>
      <c r="AF241" s="269">
        <f t="shared" si="411"/>
        <v>5433550</v>
      </c>
      <c r="AG241" s="83">
        <v>5433550</v>
      </c>
      <c r="AH241" s="8">
        <f>M241+P241+S241+V241+AE241</f>
        <v>0</v>
      </c>
      <c r="AI241" s="269">
        <f>SUM(AG241:AH241)</f>
        <v>5433550</v>
      </c>
      <c r="AJ241" s="8">
        <v>0</v>
      </c>
      <c r="AK241" s="64">
        <v>0</v>
      </c>
      <c r="AL241" s="105"/>
      <c r="AM241" s="264">
        <f t="shared" si="412"/>
        <v>0</v>
      </c>
      <c r="AN241" s="106">
        <v>0</v>
      </c>
      <c r="AO241" s="105">
        <v>0</v>
      </c>
      <c r="AP241" s="264">
        <f t="shared" si="413"/>
        <v>0</v>
      </c>
      <c r="AQ241" s="69">
        <f>SUM(AP241+AM241+AI241)-AF241</f>
        <v>0</v>
      </c>
      <c r="AR241" s="47"/>
    </row>
    <row r="242" spans="2:44" ht="72" customHeight="1">
      <c r="B242" s="52" t="s">
        <v>203</v>
      </c>
      <c r="C242" s="376" t="s">
        <v>625</v>
      </c>
      <c r="D242" s="99"/>
      <c r="E242" s="39" t="s">
        <v>541</v>
      </c>
      <c r="F242" s="39" t="s">
        <v>628</v>
      </c>
      <c r="G242" s="71">
        <v>2025</v>
      </c>
      <c r="H242" s="71">
        <v>2026</v>
      </c>
      <c r="I242" s="7">
        <v>0</v>
      </c>
      <c r="J242" s="7">
        <v>0</v>
      </c>
      <c r="K242" s="269">
        <f t="shared" ref="K242:K244" si="414">SUM(I242:J242)</f>
        <v>0</v>
      </c>
      <c r="L242" s="7">
        <v>1086710</v>
      </c>
      <c r="M242" s="7">
        <v>0</v>
      </c>
      <c r="N242" s="269">
        <f t="shared" ref="N242:N244" si="415">SUM(L242:M242)</f>
        <v>1086710</v>
      </c>
      <c r="O242" s="106">
        <v>1086710</v>
      </c>
      <c r="P242" s="7">
        <v>0</v>
      </c>
      <c r="Q242" s="269">
        <f t="shared" ref="Q242:Q244" si="416">SUM(O242:P242)</f>
        <v>1086710</v>
      </c>
      <c r="R242" s="106">
        <v>0</v>
      </c>
      <c r="S242" s="105">
        <v>0</v>
      </c>
      <c r="T242" s="269">
        <f t="shared" ref="T242:T244" si="417">SUM(R242:S242)</f>
        <v>0</v>
      </c>
      <c r="U242" s="106">
        <v>0</v>
      </c>
      <c r="V242" s="105">
        <v>0</v>
      </c>
      <c r="W242" s="269">
        <f t="shared" ref="W242:W244" si="418">SUM(U242:V242)</f>
        <v>0</v>
      </c>
      <c r="X242" s="106">
        <v>0</v>
      </c>
      <c r="Y242" s="105">
        <v>0</v>
      </c>
      <c r="Z242" s="269">
        <f t="shared" si="398"/>
        <v>0</v>
      </c>
      <c r="AA242" s="106">
        <v>0</v>
      </c>
      <c r="AB242" s="105">
        <v>0</v>
      </c>
      <c r="AC242" s="269">
        <f t="shared" si="399"/>
        <v>0</v>
      </c>
      <c r="AD242" s="106">
        <f t="shared" si="400"/>
        <v>2173420</v>
      </c>
      <c r="AE242" s="106">
        <f t="shared" si="400"/>
        <v>0</v>
      </c>
      <c r="AF242" s="269">
        <f t="shared" si="411"/>
        <v>2173420</v>
      </c>
      <c r="AG242" s="83">
        <v>2173420</v>
      </c>
      <c r="AH242" s="8">
        <v>0</v>
      </c>
      <c r="AI242" s="269">
        <f t="shared" ref="AI242:AI244" si="419">SUM(AG242:AH242)</f>
        <v>2173420</v>
      </c>
      <c r="AJ242" s="8">
        <v>0</v>
      </c>
      <c r="AK242" s="64">
        <v>0</v>
      </c>
      <c r="AL242" s="105"/>
      <c r="AM242" s="264">
        <f t="shared" si="412"/>
        <v>0</v>
      </c>
      <c r="AN242" s="106">
        <v>0</v>
      </c>
      <c r="AO242" s="105">
        <v>0</v>
      </c>
      <c r="AP242" s="264">
        <f t="shared" si="413"/>
        <v>0</v>
      </c>
      <c r="AQ242" s="69">
        <f t="shared" ref="AQ242:AQ244" si="420">SUM(AP242+AM242+AI242)-AF242</f>
        <v>0</v>
      </c>
      <c r="AR242" s="47"/>
    </row>
    <row r="243" spans="2:44" ht="71.45" customHeight="1">
      <c r="B243" s="52" t="s">
        <v>204</v>
      </c>
      <c r="C243" s="353" t="s">
        <v>626</v>
      </c>
      <c r="D243" s="99"/>
      <c r="E243" s="39" t="s">
        <v>541</v>
      </c>
      <c r="F243" s="39"/>
      <c r="G243" s="425" t="s">
        <v>468</v>
      </c>
      <c r="H243" s="425" t="s">
        <v>468</v>
      </c>
      <c r="I243" s="7">
        <v>0</v>
      </c>
      <c r="J243" s="7">
        <v>0</v>
      </c>
      <c r="K243" s="269">
        <f t="shared" si="414"/>
        <v>0</v>
      </c>
      <c r="L243" s="7">
        <f>20*2*3*9000</f>
        <v>1080000</v>
      </c>
      <c r="M243" s="7">
        <v>0</v>
      </c>
      <c r="N243" s="269">
        <f t="shared" si="415"/>
        <v>1080000</v>
      </c>
      <c r="O243" s="106">
        <v>0</v>
      </c>
      <c r="P243" s="7">
        <v>0</v>
      </c>
      <c r="Q243" s="269">
        <f t="shared" si="416"/>
        <v>0</v>
      </c>
      <c r="R243" s="106">
        <v>0</v>
      </c>
      <c r="S243" s="105">
        <v>0</v>
      </c>
      <c r="T243" s="269">
        <f t="shared" si="417"/>
        <v>0</v>
      </c>
      <c r="U243" s="106">
        <v>0</v>
      </c>
      <c r="V243" s="105">
        <v>0</v>
      </c>
      <c r="W243" s="269">
        <f t="shared" si="418"/>
        <v>0</v>
      </c>
      <c r="X243" s="105">
        <v>0</v>
      </c>
      <c r="Y243" s="105">
        <v>0</v>
      </c>
      <c r="Z243" s="269">
        <f t="shared" si="398"/>
        <v>0</v>
      </c>
      <c r="AA243" s="105">
        <v>0</v>
      </c>
      <c r="AB243" s="105">
        <v>0</v>
      </c>
      <c r="AC243" s="269">
        <f t="shared" si="399"/>
        <v>0</v>
      </c>
      <c r="AD243" s="106">
        <f t="shared" si="400"/>
        <v>1080000</v>
      </c>
      <c r="AE243" s="106">
        <f t="shared" si="400"/>
        <v>0</v>
      </c>
      <c r="AF243" s="269">
        <f t="shared" si="411"/>
        <v>1080000</v>
      </c>
      <c r="AG243" s="83">
        <v>1080000</v>
      </c>
      <c r="AH243" s="8">
        <v>0</v>
      </c>
      <c r="AI243" s="269">
        <f t="shared" si="419"/>
        <v>1080000</v>
      </c>
      <c r="AJ243" s="8">
        <v>0</v>
      </c>
      <c r="AK243" s="64">
        <v>0</v>
      </c>
      <c r="AL243" s="105"/>
      <c r="AM243" s="264">
        <f t="shared" si="412"/>
        <v>0</v>
      </c>
      <c r="AN243" s="106">
        <v>0</v>
      </c>
      <c r="AO243" s="105">
        <v>0</v>
      </c>
      <c r="AP243" s="264">
        <f t="shared" si="413"/>
        <v>0</v>
      </c>
      <c r="AQ243" s="69">
        <f t="shared" si="420"/>
        <v>0</v>
      </c>
      <c r="AR243" s="47"/>
    </row>
    <row r="244" spans="2:44" ht="79.900000000000006" customHeight="1">
      <c r="B244" s="52" t="s">
        <v>621</v>
      </c>
      <c r="C244" s="353" t="s">
        <v>1570</v>
      </c>
      <c r="D244" s="99"/>
      <c r="E244" s="39" t="s">
        <v>541</v>
      </c>
      <c r="F244" s="39"/>
      <c r="G244" s="425">
        <v>2026</v>
      </c>
      <c r="H244" s="425">
        <v>2026</v>
      </c>
      <c r="I244" s="7">
        <v>0</v>
      </c>
      <c r="J244" s="7">
        <v>0</v>
      </c>
      <c r="K244" s="269">
        <f t="shared" si="414"/>
        <v>0</v>
      </c>
      <c r="L244" s="7">
        <v>3260130</v>
      </c>
      <c r="M244" s="7">
        <v>0</v>
      </c>
      <c r="N244" s="269">
        <f t="shared" si="415"/>
        <v>3260130</v>
      </c>
      <c r="O244" s="106">
        <v>0</v>
      </c>
      <c r="P244" s="7">
        <v>0</v>
      </c>
      <c r="Q244" s="269">
        <f t="shared" si="416"/>
        <v>0</v>
      </c>
      <c r="R244" s="106">
        <v>0</v>
      </c>
      <c r="S244" s="7">
        <v>0</v>
      </c>
      <c r="T244" s="269">
        <f t="shared" si="417"/>
        <v>0</v>
      </c>
      <c r="U244" s="106">
        <v>0</v>
      </c>
      <c r="V244" s="7">
        <v>0</v>
      </c>
      <c r="W244" s="269">
        <f t="shared" si="418"/>
        <v>0</v>
      </c>
      <c r="X244" s="106">
        <v>0</v>
      </c>
      <c r="Y244" s="7">
        <v>0</v>
      </c>
      <c r="Z244" s="269">
        <f t="shared" si="398"/>
        <v>0</v>
      </c>
      <c r="AA244" s="106">
        <v>0</v>
      </c>
      <c r="AB244" s="7">
        <v>0</v>
      </c>
      <c r="AC244" s="269">
        <f t="shared" si="399"/>
        <v>0</v>
      </c>
      <c r="AD244" s="106">
        <f t="shared" si="400"/>
        <v>3260130</v>
      </c>
      <c r="AE244" s="106">
        <f t="shared" si="400"/>
        <v>0</v>
      </c>
      <c r="AF244" s="269">
        <f t="shared" si="411"/>
        <v>3260130</v>
      </c>
      <c r="AG244" s="83">
        <v>3260130</v>
      </c>
      <c r="AH244" s="8">
        <v>0</v>
      </c>
      <c r="AI244" s="269">
        <f t="shared" si="419"/>
        <v>3260130</v>
      </c>
      <c r="AJ244" s="8">
        <v>0</v>
      </c>
      <c r="AK244" s="64">
        <v>0</v>
      </c>
      <c r="AL244" s="105"/>
      <c r="AM244" s="264">
        <f t="shared" si="412"/>
        <v>0</v>
      </c>
      <c r="AN244" s="106">
        <v>0</v>
      </c>
      <c r="AO244" s="105">
        <v>0</v>
      </c>
      <c r="AP244" s="264">
        <f t="shared" si="413"/>
        <v>0</v>
      </c>
      <c r="AQ244" s="69">
        <f t="shared" si="420"/>
        <v>0</v>
      </c>
      <c r="AR244" s="47"/>
    </row>
    <row r="245" spans="2:44" ht="60" customHeight="1">
      <c r="B245" s="52" t="s">
        <v>1600</v>
      </c>
      <c r="C245" s="353" t="s">
        <v>627</v>
      </c>
      <c r="D245" s="99"/>
      <c r="E245" s="39" t="s">
        <v>541</v>
      </c>
      <c r="F245" s="39"/>
      <c r="G245" s="425" t="s">
        <v>630</v>
      </c>
      <c r="H245" s="425" t="s">
        <v>537</v>
      </c>
      <c r="I245" s="7">
        <v>0</v>
      </c>
      <c r="J245" s="7">
        <v>0</v>
      </c>
      <c r="K245" s="269">
        <f>SUM(I245:J245)</f>
        <v>0</v>
      </c>
      <c r="L245" s="7">
        <v>0</v>
      </c>
      <c r="M245" s="7">
        <v>0</v>
      </c>
      <c r="N245" s="269">
        <f>SUM(L245:M245)</f>
        <v>0</v>
      </c>
      <c r="O245" s="106">
        <v>2173420</v>
      </c>
      <c r="P245" s="7">
        <v>0</v>
      </c>
      <c r="Q245" s="269">
        <f>SUM(O245:P245)</f>
        <v>2173420</v>
      </c>
      <c r="R245" s="106">
        <v>2173420</v>
      </c>
      <c r="S245" s="7">
        <v>0</v>
      </c>
      <c r="T245" s="269">
        <f>SUM(R245:S245)</f>
        <v>2173420</v>
      </c>
      <c r="U245" s="106">
        <v>2173420</v>
      </c>
      <c r="V245" s="7">
        <v>0</v>
      </c>
      <c r="W245" s="269">
        <f>SUM(U245:V245)</f>
        <v>2173420</v>
      </c>
      <c r="X245" s="106">
        <v>2173420</v>
      </c>
      <c r="Y245" s="7">
        <v>0</v>
      </c>
      <c r="Z245" s="269">
        <f t="shared" si="398"/>
        <v>2173420</v>
      </c>
      <c r="AA245" s="106">
        <v>2173420</v>
      </c>
      <c r="AB245" s="7">
        <v>0</v>
      </c>
      <c r="AC245" s="269">
        <f t="shared" si="399"/>
        <v>2173420</v>
      </c>
      <c r="AD245" s="106">
        <f t="shared" si="400"/>
        <v>10867100</v>
      </c>
      <c r="AE245" s="106">
        <f t="shared" si="400"/>
        <v>0</v>
      </c>
      <c r="AF245" s="269">
        <f t="shared" si="411"/>
        <v>10867100</v>
      </c>
      <c r="AG245" s="83">
        <f>2173420*1</f>
        <v>2173420</v>
      </c>
      <c r="AH245" s="8">
        <f>M245+P245+S245+V245+AE245</f>
        <v>0</v>
      </c>
      <c r="AI245" s="269">
        <f>SUM(AG245:AH245)</f>
        <v>2173420</v>
      </c>
      <c r="AJ245" s="8">
        <v>0</v>
      </c>
      <c r="AK245" s="64">
        <v>0</v>
      </c>
      <c r="AL245" s="105"/>
      <c r="AM245" s="264">
        <f t="shared" si="412"/>
        <v>0</v>
      </c>
      <c r="AN245" s="83">
        <f>2173420*4</f>
        <v>8693680</v>
      </c>
      <c r="AO245" s="105">
        <v>0</v>
      </c>
      <c r="AP245" s="264">
        <f t="shared" si="413"/>
        <v>8693680</v>
      </c>
      <c r="AQ245" s="69">
        <f>SUM(AP245+AM245+AI245)-AF245</f>
        <v>0</v>
      </c>
      <c r="AR245" s="47"/>
    </row>
    <row r="246" spans="2:44" ht="72.75" customHeight="1" thickBot="1">
      <c r="B246" s="482" t="s">
        <v>205</v>
      </c>
      <c r="C246" s="268" t="s">
        <v>631</v>
      </c>
      <c r="D246" s="478"/>
      <c r="E246" s="479" t="s">
        <v>620</v>
      </c>
      <c r="F246" s="479" t="s">
        <v>638</v>
      </c>
      <c r="G246" s="207">
        <v>2026</v>
      </c>
      <c r="H246" s="195">
        <v>2030</v>
      </c>
      <c r="I246" s="504">
        <f>SUM(I247:I250)</f>
        <v>2893420</v>
      </c>
      <c r="J246" s="504">
        <f>SUM(J247:J250)</f>
        <v>0</v>
      </c>
      <c r="K246" s="212">
        <f>I246+J246</f>
        <v>2893420</v>
      </c>
      <c r="L246" s="189">
        <f>SUM(L247:L250)</f>
        <v>2893420</v>
      </c>
      <c r="M246" s="189">
        <f>SUM(M247:M250)</f>
        <v>0</v>
      </c>
      <c r="N246" s="212">
        <f>L246+M246</f>
        <v>2893420</v>
      </c>
      <c r="O246" s="189">
        <f>SUM(O247:O250)</f>
        <v>6153550</v>
      </c>
      <c r="P246" s="189">
        <f>SUM(P247:P250)</f>
        <v>0</v>
      </c>
      <c r="Q246" s="212">
        <f>O246+P246</f>
        <v>6153550</v>
      </c>
      <c r="R246" s="189">
        <f>SUM(R247:R250)</f>
        <v>2893420</v>
      </c>
      <c r="S246" s="189">
        <f>SUM(S247:S250)</f>
        <v>0</v>
      </c>
      <c r="T246" s="212">
        <v>9552000</v>
      </c>
      <c r="U246" s="189">
        <f>SUM(U247:U250)</f>
        <v>2893420</v>
      </c>
      <c r="V246" s="189">
        <f>SUM(V247:V250)</f>
        <v>0</v>
      </c>
      <c r="W246" s="212">
        <f>U246+V246</f>
        <v>2893420</v>
      </c>
      <c r="X246" s="212">
        <f>SUM(X247:X250)</f>
        <v>2893420</v>
      </c>
      <c r="Y246" s="212">
        <f>SUM(Y247:Y250)</f>
        <v>0</v>
      </c>
      <c r="Z246" s="212">
        <f t="shared" si="398"/>
        <v>2893420</v>
      </c>
      <c r="AA246" s="212">
        <f>SUM(AA247:AA250)</f>
        <v>2893420</v>
      </c>
      <c r="AB246" s="212">
        <f>SUM(AB247:AB250)</f>
        <v>0</v>
      </c>
      <c r="AC246" s="212">
        <f t="shared" si="399"/>
        <v>2893420</v>
      </c>
      <c r="AD246" s="212">
        <f t="shared" si="400"/>
        <v>23514070</v>
      </c>
      <c r="AE246" s="212">
        <f t="shared" si="400"/>
        <v>0</v>
      </c>
      <c r="AF246" s="212">
        <f t="shared" si="411"/>
        <v>23514070</v>
      </c>
      <c r="AG246" s="189">
        <f>SUM(AG247:AG250)</f>
        <v>11940390</v>
      </c>
      <c r="AH246" s="189">
        <f>SUM(AH247:AH250)</f>
        <v>0</v>
      </c>
      <c r="AI246" s="212">
        <f>AG246+AH246</f>
        <v>11940390</v>
      </c>
      <c r="AJ246" s="189">
        <f>SUM(AJ247:AJ250)</f>
        <v>0</v>
      </c>
      <c r="AK246" s="189">
        <f>SUM(AK247:AK250)</f>
        <v>0</v>
      </c>
      <c r="AL246" s="212"/>
      <c r="AM246" s="197">
        <f t="shared" si="412"/>
        <v>0</v>
      </c>
      <c r="AN246" s="189">
        <f>SUM(AN247:AN250)</f>
        <v>11573680</v>
      </c>
      <c r="AO246" s="189">
        <f>SUM(AO247:AO250)</f>
        <v>0</v>
      </c>
      <c r="AP246" s="197">
        <f t="shared" si="413"/>
        <v>11573680</v>
      </c>
      <c r="AQ246" s="193">
        <f t="shared" ref="AQ246:AQ251" si="421">SUM(AP246+AM246+AI246)-AF246</f>
        <v>0</v>
      </c>
      <c r="AR246" s="47"/>
    </row>
    <row r="247" spans="2:44" ht="44.45" customHeight="1">
      <c r="B247" s="98" t="s">
        <v>206</v>
      </c>
      <c r="C247" s="439" t="s">
        <v>632</v>
      </c>
      <c r="D247" s="96"/>
      <c r="E247" s="323" t="s">
        <v>620</v>
      </c>
      <c r="F247" s="386" t="s">
        <v>636</v>
      </c>
      <c r="G247" s="351">
        <v>2024</v>
      </c>
      <c r="H247" s="351">
        <v>2030</v>
      </c>
      <c r="I247" s="7">
        <v>2173420</v>
      </c>
      <c r="J247" s="7">
        <v>0</v>
      </c>
      <c r="K247" s="269">
        <f>SUM(I247:J247)</f>
        <v>2173420</v>
      </c>
      <c r="L247" s="7">
        <v>2173420</v>
      </c>
      <c r="M247" s="7">
        <v>0</v>
      </c>
      <c r="N247" s="269">
        <f>SUM(L247:M247)</f>
        <v>2173420</v>
      </c>
      <c r="O247" s="7">
        <v>2173420</v>
      </c>
      <c r="P247" s="7">
        <v>0</v>
      </c>
      <c r="Q247" s="269">
        <f>SUM(O247:P247)</f>
        <v>2173420</v>
      </c>
      <c r="R247" s="7">
        <v>2173420</v>
      </c>
      <c r="S247" s="7">
        <v>0</v>
      </c>
      <c r="T247" s="269">
        <f>SUM(R247:S247)</f>
        <v>2173420</v>
      </c>
      <c r="U247" s="7">
        <v>2173420</v>
      </c>
      <c r="V247" s="7">
        <v>0</v>
      </c>
      <c r="W247" s="269">
        <f>SUM(U247:V247)</f>
        <v>2173420</v>
      </c>
      <c r="X247" s="7">
        <v>2173420</v>
      </c>
      <c r="Y247" s="7">
        <v>0</v>
      </c>
      <c r="Z247" s="269">
        <f t="shared" si="398"/>
        <v>2173420</v>
      </c>
      <c r="AA247" s="7">
        <v>2173420</v>
      </c>
      <c r="AB247" s="7">
        <v>0</v>
      </c>
      <c r="AC247" s="269">
        <f t="shared" si="399"/>
        <v>2173420</v>
      </c>
      <c r="AD247" s="106">
        <f t="shared" si="400"/>
        <v>15213940</v>
      </c>
      <c r="AE247" s="106">
        <f t="shared" si="400"/>
        <v>0</v>
      </c>
      <c r="AF247" s="269">
        <f>AD247+AE247</f>
        <v>15213940</v>
      </c>
      <c r="AG247" s="83">
        <f>2173420*3</f>
        <v>6520260</v>
      </c>
      <c r="AH247" s="105">
        <v>0</v>
      </c>
      <c r="AI247" s="269">
        <f>SUM(AG247:AH247)</f>
        <v>6520260</v>
      </c>
      <c r="AJ247" s="105">
        <v>0</v>
      </c>
      <c r="AK247" s="105">
        <v>0</v>
      </c>
      <c r="AL247" s="105"/>
      <c r="AM247" s="264">
        <f t="shared" si="412"/>
        <v>0</v>
      </c>
      <c r="AN247" s="106">
        <f>2173420*4</f>
        <v>8693680</v>
      </c>
      <c r="AO247" s="105">
        <v>0</v>
      </c>
      <c r="AP247" s="264">
        <f t="shared" si="413"/>
        <v>8693680</v>
      </c>
      <c r="AQ247" s="69">
        <f t="shared" si="421"/>
        <v>0</v>
      </c>
      <c r="AR247" s="47"/>
    </row>
    <row r="248" spans="2:44" ht="46.9" customHeight="1">
      <c r="B248" s="98" t="s">
        <v>207</v>
      </c>
      <c r="C248" s="327" t="s">
        <v>633</v>
      </c>
      <c r="D248" s="96"/>
      <c r="E248" s="39" t="s">
        <v>620</v>
      </c>
      <c r="F248" s="368" t="s">
        <v>637</v>
      </c>
      <c r="G248" s="345">
        <v>2027</v>
      </c>
      <c r="H248" s="345">
        <v>2027</v>
      </c>
      <c r="I248" s="7">
        <v>0</v>
      </c>
      <c r="J248" s="7">
        <v>0</v>
      </c>
      <c r="K248" s="269">
        <f>SUM(I248:J248)</f>
        <v>0</v>
      </c>
      <c r="L248" s="7">
        <v>0</v>
      </c>
      <c r="M248" s="7">
        <v>0</v>
      </c>
      <c r="N248" s="269">
        <f>SUM(L248:M248)</f>
        <v>0</v>
      </c>
      <c r="O248" s="106">
        <v>2173420</v>
      </c>
      <c r="P248" s="7">
        <v>0</v>
      </c>
      <c r="Q248" s="269">
        <f>SUM(O248:P248)</f>
        <v>2173420</v>
      </c>
      <c r="R248" s="106">
        <v>0</v>
      </c>
      <c r="S248" s="7">
        <v>0</v>
      </c>
      <c r="T248" s="269">
        <f>SUM(R248:S248)</f>
        <v>0</v>
      </c>
      <c r="U248" s="106">
        <v>0</v>
      </c>
      <c r="V248" s="105">
        <v>0</v>
      </c>
      <c r="W248" s="269">
        <f>SUM(U248:V248)</f>
        <v>0</v>
      </c>
      <c r="X248" s="105">
        <v>0</v>
      </c>
      <c r="Y248" s="105">
        <v>0</v>
      </c>
      <c r="Z248" s="269">
        <f t="shared" si="398"/>
        <v>0</v>
      </c>
      <c r="AA248" s="105">
        <v>0</v>
      </c>
      <c r="AB248" s="105">
        <v>0</v>
      </c>
      <c r="AC248" s="269">
        <f t="shared" si="399"/>
        <v>0</v>
      </c>
      <c r="AD248" s="106">
        <f t="shared" si="400"/>
        <v>2173420</v>
      </c>
      <c r="AE248" s="106">
        <f t="shared" si="400"/>
        <v>0</v>
      </c>
      <c r="AF248" s="269">
        <f>AD248+AE248</f>
        <v>2173420</v>
      </c>
      <c r="AG248" s="83">
        <v>2173420</v>
      </c>
      <c r="AH248" s="105">
        <v>0</v>
      </c>
      <c r="AI248" s="269">
        <f>SUM(AG248:AH248)</f>
        <v>2173420</v>
      </c>
      <c r="AJ248" s="105">
        <v>0</v>
      </c>
      <c r="AK248" s="105">
        <v>0</v>
      </c>
      <c r="AL248" s="105"/>
      <c r="AM248" s="264">
        <f t="shared" si="412"/>
        <v>0</v>
      </c>
      <c r="AN248" s="106">
        <v>0</v>
      </c>
      <c r="AO248" s="105">
        <v>0</v>
      </c>
      <c r="AP248" s="264">
        <f t="shared" si="413"/>
        <v>0</v>
      </c>
      <c r="AQ248" s="69">
        <f t="shared" si="421"/>
        <v>0</v>
      </c>
      <c r="AR248" s="47"/>
    </row>
    <row r="249" spans="2:44" ht="61.9" customHeight="1">
      <c r="B249" s="98" t="s">
        <v>208</v>
      </c>
      <c r="C249" s="327" t="s">
        <v>634</v>
      </c>
      <c r="D249" s="96"/>
      <c r="E249" s="39" t="s">
        <v>620</v>
      </c>
      <c r="F249" s="368" t="s">
        <v>637</v>
      </c>
      <c r="G249" s="345">
        <v>2027</v>
      </c>
      <c r="H249" s="345">
        <v>2027</v>
      </c>
      <c r="I249" s="7">
        <v>0</v>
      </c>
      <c r="J249" s="7">
        <v>0</v>
      </c>
      <c r="K249" s="269">
        <f>SUM(I249:J249)</f>
        <v>0</v>
      </c>
      <c r="L249" s="7">
        <v>0</v>
      </c>
      <c r="M249" s="7">
        <v>0</v>
      </c>
      <c r="N249" s="269">
        <f>SUM(L249:M249)</f>
        <v>0</v>
      </c>
      <c r="O249" s="106">
        <v>1086710</v>
      </c>
      <c r="P249" s="7">
        <v>0</v>
      </c>
      <c r="Q249" s="269">
        <f>SUM(O249:P249)</f>
        <v>1086710</v>
      </c>
      <c r="R249" s="106">
        <v>0</v>
      </c>
      <c r="S249" s="7">
        <v>0</v>
      </c>
      <c r="T249" s="269">
        <f>SUM(R249:S249)</f>
        <v>0</v>
      </c>
      <c r="U249" s="106">
        <v>0</v>
      </c>
      <c r="V249" s="7">
        <v>0</v>
      </c>
      <c r="W249" s="269">
        <f>SUM(U249:V249)</f>
        <v>0</v>
      </c>
      <c r="X249" s="106">
        <v>0</v>
      </c>
      <c r="Y249" s="7">
        <v>0</v>
      </c>
      <c r="Z249" s="269">
        <f t="shared" si="398"/>
        <v>0</v>
      </c>
      <c r="AA249" s="106">
        <v>0</v>
      </c>
      <c r="AB249" s="7">
        <v>0</v>
      </c>
      <c r="AC249" s="269">
        <f t="shared" si="399"/>
        <v>0</v>
      </c>
      <c r="AD249" s="106">
        <f t="shared" si="400"/>
        <v>1086710</v>
      </c>
      <c r="AE249" s="106">
        <f t="shared" si="400"/>
        <v>0</v>
      </c>
      <c r="AF249" s="269">
        <f>AD249+AE249</f>
        <v>1086710</v>
      </c>
      <c r="AG249" s="83">
        <v>1086710</v>
      </c>
      <c r="AH249" s="105">
        <v>0</v>
      </c>
      <c r="AI249" s="269">
        <f>SUM(AG249:AH249)</f>
        <v>1086710</v>
      </c>
      <c r="AJ249" s="105">
        <v>0</v>
      </c>
      <c r="AK249" s="105">
        <v>0</v>
      </c>
      <c r="AL249" s="105"/>
      <c r="AM249" s="264">
        <f t="shared" si="412"/>
        <v>0</v>
      </c>
      <c r="AN249" s="105">
        <v>0</v>
      </c>
      <c r="AO249" s="105">
        <v>0</v>
      </c>
      <c r="AP249" s="264">
        <f t="shared" si="413"/>
        <v>0</v>
      </c>
      <c r="AQ249" s="69">
        <f t="shared" si="421"/>
        <v>0</v>
      </c>
      <c r="AR249" s="47"/>
    </row>
    <row r="250" spans="2:44" ht="57" customHeight="1" thickBot="1">
      <c r="B250" s="98" t="s">
        <v>210</v>
      </c>
      <c r="C250" s="328" t="s">
        <v>635</v>
      </c>
      <c r="D250" s="96"/>
      <c r="E250" s="389" t="s">
        <v>620</v>
      </c>
      <c r="F250" s="506"/>
      <c r="G250" s="373">
        <v>2024</v>
      </c>
      <c r="H250" s="373">
        <v>2030</v>
      </c>
      <c r="I250" s="7">
        <f>20*4*9000</f>
        <v>720000</v>
      </c>
      <c r="J250" s="7">
        <v>0</v>
      </c>
      <c r="K250" s="269">
        <f>SUM(I250:J250)</f>
        <v>720000</v>
      </c>
      <c r="L250" s="7">
        <f>20*4*9000</f>
        <v>720000</v>
      </c>
      <c r="M250" s="7">
        <v>0</v>
      </c>
      <c r="N250" s="269">
        <f>SUM(L250:M250)</f>
        <v>720000</v>
      </c>
      <c r="O250" s="7">
        <f>20*4*9000</f>
        <v>720000</v>
      </c>
      <c r="P250" s="7">
        <v>0</v>
      </c>
      <c r="Q250" s="269">
        <f>SUM(O250:P250)</f>
        <v>720000</v>
      </c>
      <c r="R250" s="7">
        <f>20*4*9000</f>
        <v>720000</v>
      </c>
      <c r="S250" s="7">
        <v>0</v>
      </c>
      <c r="T250" s="269">
        <f>SUM(R250:S250)</f>
        <v>720000</v>
      </c>
      <c r="U250" s="7">
        <f>20*4*9000</f>
        <v>720000</v>
      </c>
      <c r="V250" s="7">
        <v>0</v>
      </c>
      <c r="W250" s="269">
        <f>SUM(U250:V250)</f>
        <v>720000</v>
      </c>
      <c r="X250" s="7">
        <f>20*4*9000</f>
        <v>720000</v>
      </c>
      <c r="Y250" s="7">
        <v>0</v>
      </c>
      <c r="Z250" s="269">
        <f t="shared" si="398"/>
        <v>720000</v>
      </c>
      <c r="AA250" s="7">
        <f>20*4*9000</f>
        <v>720000</v>
      </c>
      <c r="AB250" s="7">
        <v>0</v>
      </c>
      <c r="AC250" s="269">
        <f t="shared" si="399"/>
        <v>720000</v>
      </c>
      <c r="AD250" s="106">
        <f t="shared" ref="AD250:AE250" si="422">I250+L250+O250+R250+U250+X250+AA250</f>
        <v>5040000</v>
      </c>
      <c r="AE250" s="106">
        <f t="shared" si="422"/>
        <v>0</v>
      </c>
      <c r="AF250" s="269">
        <f>AD250+AE250</f>
        <v>5040000</v>
      </c>
      <c r="AG250" s="83">
        <f>720000*3</f>
        <v>2160000</v>
      </c>
      <c r="AH250" s="105">
        <v>0</v>
      </c>
      <c r="AI250" s="269">
        <f>SUM(AG250:AH250)</f>
        <v>2160000</v>
      </c>
      <c r="AJ250" s="105">
        <v>0</v>
      </c>
      <c r="AK250" s="105">
        <v>0</v>
      </c>
      <c r="AL250" s="105"/>
      <c r="AM250" s="264">
        <f t="shared" si="412"/>
        <v>0</v>
      </c>
      <c r="AN250" s="106">
        <f>720000*4</f>
        <v>2880000</v>
      </c>
      <c r="AO250" s="105">
        <v>0</v>
      </c>
      <c r="AP250" s="264">
        <f t="shared" si="413"/>
        <v>2880000</v>
      </c>
      <c r="AQ250" s="69">
        <f t="shared" si="421"/>
        <v>0</v>
      </c>
      <c r="AR250" s="47"/>
    </row>
    <row r="251" spans="2:44" s="4" customFormat="1" ht="30" customHeight="1" thickBot="1">
      <c r="B251" s="150"/>
      <c r="C251" s="79" t="s">
        <v>211</v>
      </c>
      <c r="D251" s="80"/>
      <c r="E251" s="85"/>
      <c r="F251" s="85"/>
      <c r="G251" s="85"/>
      <c r="H251" s="81"/>
      <c r="I251" s="108">
        <f>SUM(I234,I239,I246)</f>
        <v>9413680</v>
      </c>
      <c r="J251" s="108">
        <f t="shared" ref="J251:AK251" si="423">SUM(J234,J239,J246)</f>
        <v>0</v>
      </c>
      <c r="K251" s="108">
        <f t="shared" si="423"/>
        <v>9413680</v>
      </c>
      <c r="L251" s="108">
        <f t="shared" si="423"/>
        <v>18100650</v>
      </c>
      <c r="M251" s="108">
        <f t="shared" si="423"/>
        <v>0</v>
      </c>
      <c r="N251" s="108">
        <f t="shared" si="423"/>
        <v>18100650</v>
      </c>
      <c r="O251" s="108">
        <f t="shared" si="423"/>
        <v>17020650</v>
      </c>
      <c r="P251" s="108">
        <f t="shared" si="423"/>
        <v>0</v>
      </c>
      <c r="Q251" s="108">
        <f t="shared" si="423"/>
        <v>17020650</v>
      </c>
      <c r="R251" s="108">
        <f t="shared" si="423"/>
        <v>9413680</v>
      </c>
      <c r="S251" s="108">
        <f t="shared" si="423"/>
        <v>0</v>
      </c>
      <c r="T251" s="108">
        <f t="shared" si="423"/>
        <v>16072260</v>
      </c>
      <c r="U251" s="108">
        <f t="shared" si="423"/>
        <v>9413680</v>
      </c>
      <c r="V251" s="108">
        <f t="shared" si="423"/>
        <v>0</v>
      </c>
      <c r="W251" s="108">
        <f t="shared" si="423"/>
        <v>9413680</v>
      </c>
      <c r="X251" s="108">
        <f t="shared" si="423"/>
        <v>9413680</v>
      </c>
      <c r="Y251" s="108">
        <f t="shared" si="423"/>
        <v>0</v>
      </c>
      <c r="Z251" s="108">
        <f t="shared" si="423"/>
        <v>9413680</v>
      </c>
      <c r="AA251" s="108">
        <f t="shared" si="423"/>
        <v>9413680</v>
      </c>
      <c r="AB251" s="108">
        <f t="shared" si="423"/>
        <v>0</v>
      </c>
      <c r="AC251" s="108">
        <f t="shared" si="423"/>
        <v>9413680</v>
      </c>
      <c r="AD251" s="108">
        <f t="shared" si="423"/>
        <v>82189700</v>
      </c>
      <c r="AE251" s="108">
        <f t="shared" si="423"/>
        <v>0</v>
      </c>
      <c r="AF251" s="108">
        <f t="shared" si="423"/>
        <v>82189700</v>
      </c>
      <c r="AG251" s="108">
        <f t="shared" si="423"/>
        <v>44534980</v>
      </c>
      <c r="AH251" s="108">
        <f t="shared" si="423"/>
        <v>0</v>
      </c>
      <c r="AI251" s="108">
        <f t="shared" si="423"/>
        <v>44534980</v>
      </c>
      <c r="AJ251" s="108">
        <f t="shared" si="423"/>
        <v>0</v>
      </c>
      <c r="AK251" s="108">
        <f t="shared" si="423"/>
        <v>0</v>
      </c>
      <c r="AL251" s="108"/>
      <c r="AM251" s="108">
        <f t="shared" ref="AM251:AP251" si="424">SUM(AM234,AM239,AM246)</f>
        <v>0</v>
      </c>
      <c r="AN251" s="108">
        <f t="shared" si="424"/>
        <v>37654720</v>
      </c>
      <c r="AO251" s="108">
        <f t="shared" si="424"/>
        <v>0</v>
      </c>
      <c r="AP251" s="108">
        <f t="shared" si="424"/>
        <v>37654720</v>
      </c>
      <c r="AQ251" s="507">
        <f t="shared" si="421"/>
        <v>0</v>
      </c>
      <c r="AR251" s="48"/>
    </row>
    <row r="252" spans="2:44" s="4" customFormat="1" ht="52.15" customHeight="1">
      <c r="B252" s="102">
        <v>2.5</v>
      </c>
      <c r="C252" s="845" t="s">
        <v>640</v>
      </c>
      <c r="D252" s="846"/>
      <c r="E252" s="90"/>
      <c r="F252" s="90"/>
      <c r="G252" s="90"/>
      <c r="H252" s="90"/>
      <c r="I252" s="103"/>
      <c r="J252" s="103"/>
      <c r="K252" s="103"/>
      <c r="L252" s="103"/>
      <c r="M252" s="103"/>
      <c r="N252" s="103"/>
      <c r="O252" s="103"/>
      <c r="P252" s="103"/>
      <c r="Q252" s="103"/>
      <c r="R252" s="103"/>
      <c r="S252" s="103"/>
      <c r="T252" s="103"/>
      <c r="U252" s="103"/>
      <c r="V252" s="103"/>
      <c r="W252" s="103"/>
      <c r="X252" s="103"/>
      <c r="Y252" s="103"/>
      <c r="Z252" s="103"/>
      <c r="AA252" s="103"/>
      <c r="AB252" s="103"/>
      <c r="AC252" s="103"/>
      <c r="AD252" s="103"/>
      <c r="AE252" s="103"/>
      <c r="AF252" s="103"/>
      <c r="AG252" s="103"/>
      <c r="AH252" s="103"/>
      <c r="AI252" s="103"/>
      <c r="AJ252" s="103"/>
      <c r="AK252" s="103"/>
      <c r="AL252" s="103"/>
      <c r="AM252" s="103"/>
      <c r="AN252" s="103"/>
      <c r="AO252" s="103"/>
      <c r="AP252" s="103"/>
      <c r="AQ252" s="104"/>
      <c r="AR252" s="48"/>
    </row>
    <row r="253" spans="2:44" ht="26.45" customHeight="1">
      <c r="B253" s="98"/>
      <c r="C253" s="62" t="s">
        <v>68</v>
      </c>
      <c r="D253" s="92"/>
      <c r="E253" s="93"/>
      <c r="F253" s="93"/>
      <c r="G253" s="93"/>
      <c r="H253" s="93"/>
      <c r="I253" s="83"/>
      <c r="J253" s="83"/>
      <c r="K253" s="83"/>
      <c r="L253" s="83"/>
      <c r="M253" s="83"/>
      <c r="N253" s="83"/>
      <c r="O253" s="83"/>
      <c r="P253" s="83"/>
      <c r="Q253" s="83"/>
      <c r="R253" s="83"/>
      <c r="S253" s="83"/>
      <c r="T253" s="83"/>
      <c r="U253" s="83"/>
      <c r="V253" s="83"/>
      <c r="W253" s="83"/>
      <c r="X253" s="83"/>
      <c r="Y253" s="83"/>
      <c r="Z253" s="83"/>
      <c r="AA253" s="83"/>
      <c r="AB253" s="83"/>
      <c r="AC253" s="83"/>
      <c r="AD253" s="83"/>
      <c r="AE253" s="83"/>
      <c r="AF253" s="83"/>
      <c r="AG253" s="83"/>
      <c r="AH253" s="83"/>
      <c r="AI253" s="83"/>
      <c r="AJ253" s="83"/>
      <c r="AK253" s="83"/>
      <c r="AL253" s="83"/>
      <c r="AM253" s="83"/>
      <c r="AN253" s="83"/>
      <c r="AO253" s="83"/>
      <c r="AP253" s="83"/>
      <c r="AQ253" s="69"/>
      <c r="AR253" s="47"/>
    </row>
    <row r="254" spans="2:44" s="4" customFormat="1" ht="93.75" customHeight="1" thickBot="1">
      <c r="B254" s="210" t="s">
        <v>639</v>
      </c>
      <c r="C254" s="287" t="s">
        <v>641</v>
      </c>
      <c r="D254" s="217"/>
      <c r="E254" s="186" t="s">
        <v>650</v>
      </c>
      <c r="F254" s="186" t="s">
        <v>69</v>
      </c>
      <c r="G254" s="186">
        <v>2025</v>
      </c>
      <c r="H254" s="186">
        <v>2030</v>
      </c>
      <c r="I254" s="218">
        <f>SUM(I255:I257)</f>
        <v>0</v>
      </c>
      <c r="J254" s="218">
        <f>SUM(J255:J257)</f>
        <v>0</v>
      </c>
      <c r="K254" s="218">
        <f t="shared" ref="K254:K255" si="425">SUM(I254:J254)</f>
        <v>0</v>
      </c>
      <c r="L254" s="218">
        <f>SUM(L255:L257)</f>
        <v>3973420</v>
      </c>
      <c r="M254" s="218">
        <f>SUM(M255:M257)</f>
        <v>0</v>
      </c>
      <c r="N254" s="218">
        <f t="shared" ref="N254:N255" si="426">SUM(L254:M254)</f>
        <v>3973420</v>
      </c>
      <c r="O254" s="218">
        <f>SUM(O255:O257)</f>
        <v>3973420</v>
      </c>
      <c r="P254" s="218">
        <f>SUM(P255:P257)</f>
        <v>0</v>
      </c>
      <c r="Q254" s="218">
        <f t="shared" ref="Q254:Q255" si="427">SUM(O254:P254)</f>
        <v>3973420</v>
      </c>
      <c r="R254" s="218">
        <f>SUM(R255:R257)</f>
        <v>5060130</v>
      </c>
      <c r="S254" s="218">
        <f>SUM(S255:S257)</f>
        <v>0</v>
      </c>
      <c r="T254" s="218">
        <f t="shared" ref="T254:T255" si="428">SUM(R254:S254)</f>
        <v>5060130</v>
      </c>
      <c r="U254" s="218">
        <f>SUM(U255:U257)</f>
        <v>5060130</v>
      </c>
      <c r="V254" s="218">
        <f>SUM(V255:V257)</f>
        <v>0</v>
      </c>
      <c r="W254" s="218">
        <f t="shared" ref="W254:W279" si="429">SUM(U254:V254)</f>
        <v>5060130</v>
      </c>
      <c r="X254" s="218">
        <f>SUM(X255:X257)</f>
        <v>5060130</v>
      </c>
      <c r="Y254" s="218">
        <f>SUM(Y255:Y257)</f>
        <v>0</v>
      </c>
      <c r="Z254" s="218">
        <f t="shared" ref="Z254:Z265" si="430">X254+Y254</f>
        <v>5060130</v>
      </c>
      <c r="AA254" s="218">
        <f>SUM(AA255:AA257)</f>
        <v>5060130</v>
      </c>
      <c r="AB254" s="218">
        <f>SUM(AB255:AB257)</f>
        <v>0</v>
      </c>
      <c r="AC254" s="218">
        <f t="shared" ref="AC254:AC265" si="431">AA254+AB254</f>
        <v>5060130</v>
      </c>
      <c r="AD254" s="281">
        <f t="shared" ref="AD254:AE279" si="432">I254+L254+O254+R254+U254+X254+AA254</f>
        <v>28187360</v>
      </c>
      <c r="AE254" s="289">
        <f t="shared" si="432"/>
        <v>0</v>
      </c>
      <c r="AF254" s="290">
        <f>SUM(AD254:AE254)</f>
        <v>28187360</v>
      </c>
      <c r="AG254" s="290">
        <f>SUM(AG255:AG257)</f>
        <v>7946840</v>
      </c>
      <c r="AH254" s="290">
        <f>SUM(AH255:AH257)</f>
        <v>0</v>
      </c>
      <c r="AI254" s="290">
        <f t="shared" ref="AI254:AI255" si="433">SUM(AG254:AH254)</f>
        <v>7946840</v>
      </c>
      <c r="AJ254" s="290">
        <f>SUM(AJ255:AJ257)</f>
        <v>0</v>
      </c>
      <c r="AK254" s="290">
        <f>SUM(AK255:AK257)</f>
        <v>0</v>
      </c>
      <c r="AL254" s="290"/>
      <c r="AM254" s="214">
        <f t="shared" ref="AM254:AM279" si="434">AJ254+AK254</f>
        <v>0</v>
      </c>
      <c r="AN254" s="290">
        <f>SUM(AN255:AN257)</f>
        <v>20240520</v>
      </c>
      <c r="AO254" s="290">
        <f>SUM(AO255:AO257)</f>
        <v>0</v>
      </c>
      <c r="AP254" s="290">
        <f t="shared" ref="AP254:AP258" si="435">SUM(AN254:AO254)</f>
        <v>20240520</v>
      </c>
      <c r="AQ254" s="291">
        <f t="shared" ref="AQ254:AQ257" si="436">SUM(AP254+AM254+AI254)-AF254</f>
        <v>0</v>
      </c>
      <c r="AR254" s="48"/>
    </row>
    <row r="255" spans="2:44" s="4" customFormat="1" ht="75" customHeight="1">
      <c r="B255" s="35" t="s">
        <v>642</v>
      </c>
      <c r="C255" s="508" t="s">
        <v>645</v>
      </c>
      <c r="D255" s="92"/>
      <c r="E255" s="323" t="s">
        <v>648</v>
      </c>
      <c r="F255" s="367" t="s">
        <v>69</v>
      </c>
      <c r="G255" s="71">
        <v>2025</v>
      </c>
      <c r="H255" s="71">
        <v>2030</v>
      </c>
      <c r="I255" s="7">
        <v>0</v>
      </c>
      <c r="J255" s="7">
        <v>0</v>
      </c>
      <c r="K255" s="280">
        <f t="shared" si="425"/>
        <v>0</v>
      </c>
      <c r="L255" s="179">
        <v>2173420</v>
      </c>
      <c r="M255" s="7">
        <v>0</v>
      </c>
      <c r="N255" s="280">
        <f t="shared" si="426"/>
        <v>2173420</v>
      </c>
      <c r="O255" s="179">
        <v>2173420</v>
      </c>
      <c r="P255" s="7">
        <v>0</v>
      </c>
      <c r="Q255" s="280">
        <f t="shared" si="427"/>
        <v>2173420</v>
      </c>
      <c r="R255" s="179">
        <v>2173420</v>
      </c>
      <c r="S255" s="7">
        <v>0</v>
      </c>
      <c r="T255" s="280">
        <f t="shared" si="428"/>
        <v>2173420</v>
      </c>
      <c r="U255" s="179">
        <v>2173420</v>
      </c>
      <c r="V255" s="7">
        <v>0</v>
      </c>
      <c r="W255" s="280">
        <f t="shared" si="429"/>
        <v>2173420</v>
      </c>
      <c r="X255" s="179">
        <v>2173420</v>
      </c>
      <c r="Y255" s="7">
        <v>0</v>
      </c>
      <c r="Z255" s="280">
        <f t="shared" si="430"/>
        <v>2173420</v>
      </c>
      <c r="AA255" s="179">
        <v>2173420</v>
      </c>
      <c r="AB255" s="7">
        <v>0</v>
      </c>
      <c r="AC255" s="280">
        <f t="shared" si="431"/>
        <v>2173420</v>
      </c>
      <c r="AD255" s="284">
        <f t="shared" si="432"/>
        <v>13040520</v>
      </c>
      <c r="AE255" s="106">
        <f t="shared" si="432"/>
        <v>0</v>
      </c>
      <c r="AF255" s="280">
        <f t="shared" ref="AF255:AF279" si="437">AD255+AE255</f>
        <v>13040520</v>
      </c>
      <c r="AG255" s="179">
        <f>2173420*2</f>
        <v>4346840</v>
      </c>
      <c r="AH255" s="7">
        <v>0</v>
      </c>
      <c r="AI255" s="280">
        <f t="shared" si="433"/>
        <v>4346840</v>
      </c>
      <c r="AJ255" s="7">
        <v>0</v>
      </c>
      <c r="AK255" s="7">
        <v>0</v>
      </c>
      <c r="AL255" s="179"/>
      <c r="AM255" s="264">
        <f t="shared" si="434"/>
        <v>0</v>
      </c>
      <c r="AN255" s="179">
        <f>2173420*4</f>
        <v>8693680</v>
      </c>
      <c r="AO255" s="7">
        <v>0</v>
      </c>
      <c r="AP255" s="280">
        <f t="shared" si="435"/>
        <v>8693680</v>
      </c>
      <c r="AQ255" s="283">
        <f t="shared" si="436"/>
        <v>0</v>
      </c>
      <c r="AR255" s="48"/>
    </row>
    <row r="256" spans="2:44" s="4" customFormat="1" ht="59.45" customHeight="1">
      <c r="B256" s="35" t="s">
        <v>643</v>
      </c>
      <c r="C256" s="509" t="s">
        <v>646</v>
      </c>
      <c r="D256" s="92"/>
      <c r="E256" s="39" t="s">
        <v>649</v>
      </c>
      <c r="F256" s="368"/>
      <c r="G256" s="71">
        <v>2025</v>
      </c>
      <c r="H256" s="71">
        <v>2030</v>
      </c>
      <c r="I256" s="7">
        <v>0</v>
      </c>
      <c r="J256" s="7">
        <v>0</v>
      </c>
      <c r="K256" s="280">
        <f t="shared" ref="K256:K279" si="438">SUM(I256:J256)</f>
        <v>0</v>
      </c>
      <c r="L256" s="179">
        <v>1800000</v>
      </c>
      <c r="M256" s="7">
        <v>0</v>
      </c>
      <c r="N256" s="280">
        <f t="shared" ref="N256:N279" si="439">SUM(L256:M256)</f>
        <v>1800000</v>
      </c>
      <c r="O256" s="179">
        <v>1800000</v>
      </c>
      <c r="P256" s="7">
        <v>0</v>
      </c>
      <c r="Q256" s="280">
        <f t="shared" ref="Q256:Q279" si="440">SUM(O256:P256)</f>
        <v>1800000</v>
      </c>
      <c r="R256" s="179">
        <v>1800000</v>
      </c>
      <c r="S256" s="7">
        <v>0</v>
      </c>
      <c r="T256" s="280">
        <f t="shared" ref="T256:T279" si="441">SUM(R256:S256)</f>
        <v>1800000</v>
      </c>
      <c r="U256" s="179">
        <v>1800000</v>
      </c>
      <c r="V256" s="7">
        <v>0</v>
      </c>
      <c r="W256" s="280">
        <f t="shared" si="429"/>
        <v>1800000</v>
      </c>
      <c r="X256" s="179">
        <v>1800000</v>
      </c>
      <c r="Y256" s="7">
        <v>0</v>
      </c>
      <c r="Z256" s="280">
        <f t="shared" si="430"/>
        <v>1800000</v>
      </c>
      <c r="AA256" s="179">
        <v>1800000</v>
      </c>
      <c r="AB256" s="7">
        <v>0</v>
      </c>
      <c r="AC256" s="280">
        <f t="shared" si="431"/>
        <v>1800000</v>
      </c>
      <c r="AD256" s="106">
        <f t="shared" si="432"/>
        <v>10800000</v>
      </c>
      <c r="AE256" s="106">
        <f t="shared" si="432"/>
        <v>0</v>
      </c>
      <c r="AF256" s="280">
        <f t="shared" si="437"/>
        <v>10800000</v>
      </c>
      <c r="AG256" s="179">
        <f>1800000*2</f>
        <v>3600000</v>
      </c>
      <c r="AH256" s="7">
        <v>0</v>
      </c>
      <c r="AI256" s="280">
        <f t="shared" ref="AI256:AI279" si="442">SUM(AG256:AH256)</f>
        <v>3600000</v>
      </c>
      <c r="AJ256" s="7">
        <v>0</v>
      </c>
      <c r="AK256" s="7">
        <v>0</v>
      </c>
      <c r="AL256" s="179"/>
      <c r="AM256" s="264">
        <f t="shared" si="434"/>
        <v>0</v>
      </c>
      <c r="AN256" s="179">
        <f>1800000*4</f>
        <v>7200000</v>
      </c>
      <c r="AO256" s="7">
        <v>0</v>
      </c>
      <c r="AP256" s="280">
        <f t="shared" si="435"/>
        <v>7200000</v>
      </c>
      <c r="AQ256" s="283">
        <f t="shared" si="436"/>
        <v>0</v>
      </c>
      <c r="AR256" s="48"/>
    </row>
    <row r="257" spans="2:44" s="4" customFormat="1" ht="55.15" customHeight="1" thickBot="1">
      <c r="B257" s="35" t="s">
        <v>644</v>
      </c>
      <c r="C257" s="510" t="s">
        <v>647</v>
      </c>
      <c r="D257" s="92"/>
      <c r="E257" s="389" t="s">
        <v>648</v>
      </c>
      <c r="F257" s="506" t="s">
        <v>69</v>
      </c>
      <c r="G257" s="71">
        <v>2027</v>
      </c>
      <c r="H257" s="71">
        <v>2030</v>
      </c>
      <c r="I257" s="7">
        <v>0</v>
      </c>
      <c r="J257" s="7">
        <v>0</v>
      </c>
      <c r="K257" s="280">
        <f t="shared" si="438"/>
        <v>0</v>
      </c>
      <c r="L257" s="179">
        <v>0</v>
      </c>
      <c r="M257" s="7">
        <v>0</v>
      </c>
      <c r="N257" s="280">
        <f t="shared" si="439"/>
        <v>0</v>
      </c>
      <c r="O257" s="179">
        <v>0</v>
      </c>
      <c r="P257" s="7">
        <v>0</v>
      </c>
      <c r="Q257" s="280">
        <f t="shared" si="440"/>
        <v>0</v>
      </c>
      <c r="R257" s="179">
        <v>1086710</v>
      </c>
      <c r="S257" s="7">
        <v>0</v>
      </c>
      <c r="T257" s="280">
        <f t="shared" si="441"/>
        <v>1086710</v>
      </c>
      <c r="U257" s="179">
        <v>1086710</v>
      </c>
      <c r="V257" s="7">
        <v>0</v>
      </c>
      <c r="W257" s="280">
        <f t="shared" si="429"/>
        <v>1086710</v>
      </c>
      <c r="X257" s="179">
        <v>1086710</v>
      </c>
      <c r="Y257" s="7">
        <v>0</v>
      </c>
      <c r="Z257" s="280">
        <f t="shared" si="430"/>
        <v>1086710</v>
      </c>
      <c r="AA257" s="179">
        <v>1086710</v>
      </c>
      <c r="AB257" s="7">
        <v>0</v>
      </c>
      <c r="AC257" s="280">
        <f t="shared" si="431"/>
        <v>1086710</v>
      </c>
      <c r="AD257" s="106">
        <f t="shared" si="432"/>
        <v>4346840</v>
      </c>
      <c r="AE257" s="106">
        <f t="shared" si="432"/>
        <v>0</v>
      </c>
      <c r="AF257" s="280">
        <f t="shared" si="437"/>
        <v>4346840</v>
      </c>
      <c r="AG257" s="179">
        <v>0</v>
      </c>
      <c r="AH257" s="7">
        <v>0</v>
      </c>
      <c r="AI257" s="280">
        <f t="shared" si="442"/>
        <v>0</v>
      </c>
      <c r="AJ257" s="7">
        <v>0</v>
      </c>
      <c r="AK257" s="7">
        <v>0</v>
      </c>
      <c r="AL257" s="179"/>
      <c r="AM257" s="264">
        <f t="shared" si="434"/>
        <v>0</v>
      </c>
      <c r="AN257" s="179">
        <f>1086710*4</f>
        <v>4346840</v>
      </c>
      <c r="AO257" s="7">
        <v>0</v>
      </c>
      <c r="AP257" s="280">
        <f t="shared" si="435"/>
        <v>4346840</v>
      </c>
      <c r="AQ257" s="283">
        <f t="shared" si="436"/>
        <v>0</v>
      </c>
      <c r="AR257" s="48"/>
    </row>
    <row r="258" spans="2:44" s="4" customFormat="1" ht="93.75" customHeight="1" thickBot="1">
      <c r="B258" s="210" t="s">
        <v>651</v>
      </c>
      <c r="C258" s="287" t="s">
        <v>659</v>
      </c>
      <c r="D258" s="217"/>
      <c r="E258" s="186"/>
      <c r="F258" s="186"/>
      <c r="G258" s="186">
        <v>2024</v>
      </c>
      <c r="H258" s="186">
        <v>2030</v>
      </c>
      <c r="I258" s="218">
        <f>SUM(I259:I265)</f>
        <v>6746840</v>
      </c>
      <c r="J258" s="218">
        <f>SUM(J259:J265)</f>
        <v>0</v>
      </c>
      <c r="K258" s="218">
        <f t="shared" ref="K258" si="443">SUM(I258:J258)</f>
        <v>6746840</v>
      </c>
      <c r="L258" s="218">
        <f>SUM(L259:L265)</f>
        <v>6746840</v>
      </c>
      <c r="M258" s="218">
        <f>SUM(M259:M265)</f>
        <v>0</v>
      </c>
      <c r="N258" s="218">
        <f t="shared" ref="N258" si="444">SUM(L258:M258)</f>
        <v>6746840</v>
      </c>
      <c r="O258" s="218">
        <f>SUM(O259:O265)</f>
        <v>6746840</v>
      </c>
      <c r="P258" s="218">
        <f>SUM(P259:P265)</f>
        <v>0</v>
      </c>
      <c r="Q258" s="218">
        <f t="shared" ref="Q258" si="445">SUM(O258:P258)</f>
        <v>6746840</v>
      </c>
      <c r="R258" s="218">
        <f>SUM(R259:R265)</f>
        <v>6746840</v>
      </c>
      <c r="S258" s="218">
        <f>SUM(S259:S265)</f>
        <v>0</v>
      </c>
      <c r="T258" s="218">
        <f t="shared" ref="T258" si="446">SUM(R258:S258)</f>
        <v>6746840</v>
      </c>
      <c r="U258" s="218">
        <f>SUM(U259:U265)</f>
        <v>6746840</v>
      </c>
      <c r="V258" s="218">
        <f>SUM(V259:V265)</f>
        <v>0</v>
      </c>
      <c r="W258" s="218">
        <f t="shared" ref="W258" si="447">SUM(U258:V258)</f>
        <v>6746840</v>
      </c>
      <c r="X258" s="218">
        <f>SUM(X259:X265)</f>
        <v>6746840</v>
      </c>
      <c r="Y258" s="218">
        <f>SUM(Y259:Y265)</f>
        <v>0</v>
      </c>
      <c r="Z258" s="218">
        <f t="shared" si="430"/>
        <v>6746840</v>
      </c>
      <c r="AA258" s="288">
        <f>SUM(AA259:AA265)</f>
        <v>6746840</v>
      </c>
      <c r="AB258" s="288">
        <f>SUM(AB259:AB265)</f>
        <v>0</v>
      </c>
      <c r="AC258" s="288">
        <f t="shared" si="431"/>
        <v>6746840</v>
      </c>
      <c r="AD258" s="289">
        <f t="shared" si="432"/>
        <v>47227880</v>
      </c>
      <c r="AE258" s="289">
        <f>SUM(AE259:AE265)</f>
        <v>0</v>
      </c>
      <c r="AF258" s="290">
        <f t="shared" si="437"/>
        <v>47227880</v>
      </c>
      <c r="AG258" s="290">
        <f>SUM(AG259:AG265)</f>
        <v>20240520</v>
      </c>
      <c r="AH258" s="290">
        <f>SUM(AH259:AH265)</f>
        <v>0</v>
      </c>
      <c r="AI258" s="290">
        <f t="shared" ref="AI258" si="448">SUM(AG258:AH258)</f>
        <v>20240520</v>
      </c>
      <c r="AJ258" s="290">
        <f>SUM(AJ259:AJ265)</f>
        <v>0</v>
      </c>
      <c r="AK258" s="290">
        <f>SUM(AK259:AK265)</f>
        <v>0</v>
      </c>
      <c r="AL258" s="290"/>
      <c r="AM258" s="214">
        <f t="shared" ref="AM258" si="449">AJ258+AK258</f>
        <v>0</v>
      </c>
      <c r="AN258" s="290">
        <f>SUM(AN259:AN265)</f>
        <v>26987360</v>
      </c>
      <c r="AO258" s="290">
        <f>SUM(AO259:AO265)</f>
        <v>0</v>
      </c>
      <c r="AP258" s="290">
        <f t="shared" si="435"/>
        <v>26987360</v>
      </c>
      <c r="AQ258" s="291">
        <f t="shared" ref="AQ258" si="450">SUM(AP258+AM258+AI258)-AF258</f>
        <v>0</v>
      </c>
      <c r="AR258" s="48"/>
    </row>
    <row r="259" spans="2:44" s="4" customFormat="1" ht="93.75" customHeight="1">
      <c r="B259" s="35" t="s">
        <v>664</v>
      </c>
      <c r="C259" s="501" t="s">
        <v>652</v>
      </c>
      <c r="D259" s="92"/>
      <c r="E259" s="511" t="s">
        <v>69</v>
      </c>
      <c r="F259" s="512" t="s">
        <v>660</v>
      </c>
      <c r="G259" s="71">
        <v>2024</v>
      </c>
      <c r="H259" s="71">
        <v>2030</v>
      </c>
      <c r="I259" s="7">
        <v>240000</v>
      </c>
      <c r="J259" s="7">
        <v>0</v>
      </c>
      <c r="K259" s="280">
        <f t="shared" si="438"/>
        <v>240000</v>
      </c>
      <c r="L259" s="7">
        <v>240000</v>
      </c>
      <c r="M259" s="7">
        <v>0</v>
      </c>
      <c r="N259" s="280">
        <f t="shared" si="439"/>
        <v>240000</v>
      </c>
      <c r="O259" s="7">
        <v>240000</v>
      </c>
      <c r="P259" s="7">
        <v>0</v>
      </c>
      <c r="Q259" s="280">
        <f t="shared" si="440"/>
        <v>240000</v>
      </c>
      <c r="R259" s="7">
        <v>240000</v>
      </c>
      <c r="S259" s="7">
        <v>0</v>
      </c>
      <c r="T259" s="280">
        <f t="shared" si="441"/>
        <v>240000</v>
      </c>
      <c r="U259" s="7">
        <v>240000</v>
      </c>
      <c r="V259" s="7">
        <v>0</v>
      </c>
      <c r="W259" s="280">
        <f t="shared" si="429"/>
        <v>240000</v>
      </c>
      <c r="X259" s="7">
        <v>240000</v>
      </c>
      <c r="Y259" s="7">
        <v>0</v>
      </c>
      <c r="Z259" s="280">
        <f t="shared" si="430"/>
        <v>240000</v>
      </c>
      <c r="AA259" s="7">
        <v>240000</v>
      </c>
      <c r="AB259" s="7">
        <v>0</v>
      </c>
      <c r="AC259" s="280">
        <f t="shared" si="431"/>
        <v>240000</v>
      </c>
      <c r="AD259" s="106">
        <f t="shared" si="432"/>
        <v>1680000</v>
      </c>
      <c r="AE259" s="106">
        <f t="shared" si="432"/>
        <v>0</v>
      </c>
      <c r="AF259" s="280">
        <f t="shared" ref="AF259:AF265" si="451">SUM(AD259:AE259)</f>
        <v>1680000</v>
      </c>
      <c r="AG259" s="179">
        <f>240000*3</f>
        <v>720000</v>
      </c>
      <c r="AH259" s="7">
        <v>0</v>
      </c>
      <c r="AI259" s="280">
        <f t="shared" si="442"/>
        <v>720000</v>
      </c>
      <c r="AJ259" s="7">
        <v>0</v>
      </c>
      <c r="AK259" s="7">
        <v>0</v>
      </c>
      <c r="AL259" s="179"/>
      <c r="AM259" s="264">
        <f t="shared" si="434"/>
        <v>0</v>
      </c>
      <c r="AN259" s="179">
        <f>240000*4</f>
        <v>960000</v>
      </c>
      <c r="AO259" s="7">
        <v>0</v>
      </c>
      <c r="AP259" s="280">
        <f t="shared" ref="AP259:AP279" si="452">SUM(AN259:AO259)</f>
        <v>960000</v>
      </c>
      <c r="AQ259" s="283">
        <f t="shared" ref="AQ259:AQ279" si="453">SUM(AP259+AM259+AI259)-AF259</f>
        <v>0</v>
      </c>
      <c r="AR259" s="48"/>
    </row>
    <row r="260" spans="2:44" s="4" customFormat="1" ht="93.75" customHeight="1">
      <c r="B260" s="35" t="s">
        <v>665</v>
      </c>
      <c r="C260" s="505" t="s">
        <v>653</v>
      </c>
      <c r="D260" s="92"/>
      <c r="E260" s="503" t="s">
        <v>661</v>
      </c>
      <c r="F260" s="513"/>
      <c r="G260" s="71">
        <v>2024</v>
      </c>
      <c r="H260" s="71">
        <v>2030</v>
      </c>
      <c r="I260" s="7">
        <v>0</v>
      </c>
      <c r="J260" s="7">
        <v>0</v>
      </c>
      <c r="K260" s="280">
        <f t="shared" si="438"/>
        <v>0</v>
      </c>
      <c r="L260" s="7">
        <v>0</v>
      </c>
      <c r="M260" s="7">
        <v>0</v>
      </c>
      <c r="N260" s="280">
        <f t="shared" si="439"/>
        <v>0</v>
      </c>
      <c r="O260" s="7">
        <v>0</v>
      </c>
      <c r="P260" s="7">
        <v>0</v>
      </c>
      <c r="Q260" s="280">
        <f t="shared" si="440"/>
        <v>0</v>
      </c>
      <c r="R260" s="7">
        <v>0</v>
      </c>
      <c r="S260" s="7">
        <v>0</v>
      </c>
      <c r="T260" s="280">
        <f t="shared" si="441"/>
        <v>0</v>
      </c>
      <c r="U260" s="7">
        <v>0</v>
      </c>
      <c r="V260" s="7">
        <v>0</v>
      </c>
      <c r="W260" s="280">
        <f t="shared" si="429"/>
        <v>0</v>
      </c>
      <c r="X260" s="7">
        <v>0</v>
      </c>
      <c r="Y260" s="7">
        <v>0</v>
      </c>
      <c r="Z260" s="280">
        <f t="shared" si="430"/>
        <v>0</v>
      </c>
      <c r="AA260" s="7">
        <v>0</v>
      </c>
      <c r="AB260" s="7">
        <v>0</v>
      </c>
      <c r="AC260" s="280">
        <f t="shared" si="431"/>
        <v>0</v>
      </c>
      <c r="AD260" s="106">
        <f t="shared" si="432"/>
        <v>0</v>
      </c>
      <c r="AE260" s="106">
        <f t="shared" si="432"/>
        <v>0</v>
      </c>
      <c r="AF260" s="280">
        <f t="shared" si="451"/>
        <v>0</v>
      </c>
      <c r="AG260" s="179">
        <v>0</v>
      </c>
      <c r="AH260" s="7">
        <v>0</v>
      </c>
      <c r="AI260" s="280">
        <f t="shared" si="442"/>
        <v>0</v>
      </c>
      <c r="AJ260" s="7">
        <v>0</v>
      </c>
      <c r="AK260" s="7">
        <v>0</v>
      </c>
      <c r="AL260" s="179"/>
      <c r="AM260" s="264">
        <f t="shared" si="434"/>
        <v>0</v>
      </c>
      <c r="AN260" s="179">
        <v>0</v>
      </c>
      <c r="AO260" s="7">
        <v>0</v>
      </c>
      <c r="AP260" s="280">
        <f t="shared" si="452"/>
        <v>0</v>
      </c>
      <c r="AQ260" s="283">
        <f t="shared" si="453"/>
        <v>0</v>
      </c>
      <c r="AR260" s="48"/>
    </row>
    <row r="261" spans="2:44" s="4" customFormat="1" ht="46.15" customHeight="1">
      <c r="B261" s="35" t="s">
        <v>666</v>
      </c>
      <c r="C261" s="505" t="s">
        <v>654</v>
      </c>
      <c r="D261" s="92"/>
      <c r="E261" s="503" t="s">
        <v>612</v>
      </c>
      <c r="F261" s="513" t="s">
        <v>541</v>
      </c>
      <c r="G261" s="71">
        <v>2024</v>
      </c>
      <c r="H261" s="71">
        <v>2030</v>
      </c>
      <c r="I261" s="7">
        <v>1086710</v>
      </c>
      <c r="J261" s="7">
        <v>0</v>
      </c>
      <c r="K261" s="280">
        <f t="shared" si="438"/>
        <v>1086710</v>
      </c>
      <c r="L261" s="7">
        <v>1086710</v>
      </c>
      <c r="M261" s="7">
        <v>0</v>
      </c>
      <c r="N261" s="280">
        <f t="shared" si="439"/>
        <v>1086710</v>
      </c>
      <c r="O261" s="7">
        <v>1086710</v>
      </c>
      <c r="P261" s="7">
        <v>0</v>
      </c>
      <c r="Q261" s="280">
        <f t="shared" si="440"/>
        <v>1086710</v>
      </c>
      <c r="R261" s="7">
        <v>1086710</v>
      </c>
      <c r="S261" s="7">
        <v>0</v>
      </c>
      <c r="T261" s="280">
        <f t="shared" si="441"/>
        <v>1086710</v>
      </c>
      <c r="U261" s="7">
        <v>1086710</v>
      </c>
      <c r="V261" s="7">
        <v>0</v>
      </c>
      <c r="W261" s="280">
        <f t="shared" si="429"/>
        <v>1086710</v>
      </c>
      <c r="X261" s="7">
        <v>1086710</v>
      </c>
      <c r="Y261" s="7">
        <v>0</v>
      </c>
      <c r="Z261" s="280">
        <f t="shared" si="430"/>
        <v>1086710</v>
      </c>
      <c r="AA261" s="7">
        <v>1086710</v>
      </c>
      <c r="AB261" s="7">
        <v>0</v>
      </c>
      <c r="AC261" s="280">
        <f t="shared" si="431"/>
        <v>1086710</v>
      </c>
      <c r="AD261" s="106">
        <f t="shared" si="432"/>
        <v>7606970</v>
      </c>
      <c r="AE261" s="106">
        <f t="shared" si="432"/>
        <v>0</v>
      </c>
      <c r="AF261" s="280">
        <f t="shared" si="451"/>
        <v>7606970</v>
      </c>
      <c r="AG261" s="179">
        <f>1086710*3</f>
        <v>3260130</v>
      </c>
      <c r="AH261" s="7">
        <v>0</v>
      </c>
      <c r="AI261" s="280">
        <f t="shared" si="442"/>
        <v>3260130</v>
      </c>
      <c r="AJ261" s="7">
        <v>0</v>
      </c>
      <c r="AK261" s="7">
        <v>0</v>
      </c>
      <c r="AL261" s="179"/>
      <c r="AM261" s="264">
        <f t="shared" si="434"/>
        <v>0</v>
      </c>
      <c r="AN261" s="179">
        <f>1086710*4</f>
        <v>4346840</v>
      </c>
      <c r="AO261" s="7">
        <v>0</v>
      </c>
      <c r="AP261" s="280">
        <f t="shared" si="452"/>
        <v>4346840</v>
      </c>
      <c r="AQ261" s="283">
        <f t="shared" si="453"/>
        <v>0</v>
      </c>
      <c r="AR261" s="48"/>
    </row>
    <row r="262" spans="2:44" s="4" customFormat="1" ht="66" customHeight="1">
      <c r="B262" s="35" t="s">
        <v>667</v>
      </c>
      <c r="C262" s="505" t="s">
        <v>655</v>
      </c>
      <c r="D262" s="92"/>
      <c r="E262" s="503" t="s">
        <v>541</v>
      </c>
      <c r="F262" s="513" t="s">
        <v>612</v>
      </c>
      <c r="G262" s="71">
        <v>2024</v>
      </c>
      <c r="H262" s="71">
        <v>2030</v>
      </c>
      <c r="I262" s="7">
        <v>1086710</v>
      </c>
      <c r="J262" s="7">
        <v>0</v>
      </c>
      <c r="K262" s="280">
        <f t="shared" si="438"/>
        <v>1086710</v>
      </c>
      <c r="L262" s="7">
        <v>1086710</v>
      </c>
      <c r="M262" s="7">
        <v>0</v>
      </c>
      <c r="N262" s="280">
        <f t="shared" si="439"/>
        <v>1086710</v>
      </c>
      <c r="O262" s="7">
        <v>1086710</v>
      </c>
      <c r="P262" s="7">
        <v>0</v>
      </c>
      <c r="Q262" s="280">
        <f t="shared" si="440"/>
        <v>1086710</v>
      </c>
      <c r="R262" s="7">
        <v>1086710</v>
      </c>
      <c r="S262" s="7">
        <v>0</v>
      </c>
      <c r="T262" s="280">
        <f t="shared" si="441"/>
        <v>1086710</v>
      </c>
      <c r="U262" s="7">
        <v>1086710</v>
      </c>
      <c r="V262" s="7">
        <v>0</v>
      </c>
      <c r="W262" s="280">
        <f t="shared" si="429"/>
        <v>1086710</v>
      </c>
      <c r="X262" s="7">
        <v>1086710</v>
      </c>
      <c r="Y262" s="7">
        <v>0</v>
      </c>
      <c r="Z262" s="280">
        <f t="shared" si="430"/>
        <v>1086710</v>
      </c>
      <c r="AA262" s="7">
        <v>1086710</v>
      </c>
      <c r="AB262" s="7">
        <v>0</v>
      </c>
      <c r="AC262" s="280">
        <f t="shared" si="431"/>
        <v>1086710</v>
      </c>
      <c r="AD262" s="106">
        <f t="shared" si="432"/>
        <v>7606970</v>
      </c>
      <c r="AE262" s="106">
        <f t="shared" si="432"/>
        <v>0</v>
      </c>
      <c r="AF262" s="280">
        <f t="shared" si="451"/>
        <v>7606970</v>
      </c>
      <c r="AG262" s="179">
        <f>1086710*3</f>
        <v>3260130</v>
      </c>
      <c r="AH262" s="7">
        <v>0</v>
      </c>
      <c r="AI262" s="280">
        <f t="shared" si="442"/>
        <v>3260130</v>
      </c>
      <c r="AJ262" s="7">
        <v>0</v>
      </c>
      <c r="AK262" s="7">
        <v>0</v>
      </c>
      <c r="AL262" s="179"/>
      <c r="AM262" s="264">
        <f t="shared" si="434"/>
        <v>0</v>
      </c>
      <c r="AN262" s="179">
        <f>1086710*4</f>
        <v>4346840</v>
      </c>
      <c r="AO262" s="7">
        <v>0</v>
      </c>
      <c r="AP262" s="280">
        <f t="shared" si="452"/>
        <v>4346840</v>
      </c>
      <c r="AQ262" s="283">
        <f t="shared" si="453"/>
        <v>0</v>
      </c>
      <c r="AR262" s="48"/>
    </row>
    <row r="263" spans="2:44" s="4" customFormat="1" ht="55.15" customHeight="1">
      <c r="B263" s="35" t="s">
        <v>668</v>
      </c>
      <c r="C263" s="505" t="s">
        <v>656</v>
      </c>
      <c r="D263" s="92"/>
      <c r="E263" s="503" t="s">
        <v>662</v>
      </c>
      <c r="F263" s="513"/>
      <c r="G263" s="71">
        <v>2024</v>
      </c>
      <c r="H263" s="71">
        <v>2030</v>
      </c>
      <c r="I263" s="7">
        <v>2173420</v>
      </c>
      <c r="J263" s="7">
        <v>0</v>
      </c>
      <c r="K263" s="280">
        <f t="shared" si="438"/>
        <v>2173420</v>
      </c>
      <c r="L263" s="7">
        <v>2173420</v>
      </c>
      <c r="M263" s="7">
        <v>0</v>
      </c>
      <c r="N263" s="280">
        <f t="shared" si="439"/>
        <v>2173420</v>
      </c>
      <c r="O263" s="7">
        <v>2173420</v>
      </c>
      <c r="P263" s="7">
        <v>0</v>
      </c>
      <c r="Q263" s="280">
        <f t="shared" si="440"/>
        <v>2173420</v>
      </c>
      <c r="R263" s="7">
        <v>2173420</v>
      </c>
      <c r="S263" s="7">
        <v>0</v>
      </c>
      <c r="T263" s="280">
        <f t="shared" si="441"/>
        <v>2173420</v>
      </c>
      <c r="U263" s="7">
        <v>2173420</v>
      </c>
      <c r="V263" s="7">
        <v>0</v>
      </c>
      <c r="W263" s="280">
        <f t="shared" si="429"/>
        <v>2173420</v>
      </c>
      <c r="X263" s="7">
        <v>2173420</v>
      </c>
      <c r="Y263" s="7">
        <v>0</v>
      </c>
      <c r="Z263" s="280">
        <f t="shared" si="430"/>
        <v>2173420</v>
      </c>
      <c r="AA263" s="7">
        <v>2173420</v>
      </c>
      <c r="AB263" s="7">
        <v>0</v>
      </c>
      <c r="AC263" s="280">
        <f t="shared" si="431"/>
        <v>2173420</v>
      </c>
      <c r="AD263" s="106">
        <f t="shared" si="432"/>
        <v>15213940</v>
      </c>
      <c r="AE263" s="106">
        <f t="shared" si="432"/>
        <v>0</v>
      </c>
      <c r="AF263" s="280">
        <f t="shared" si="451"/>
        <v>15213940</v>
      </c>
      <c r="AG263" s="179">
        <f>2173420*3</f>
        <v>6520260</v>
      </c>
      <c r="AH263" s="7">
        <v>0</v>
      </c>
      <c r="AI263" s="280">
        <f t="shared" si="442"/>
        <v>6520260</v>
      </c>
      <c r="AJ263" s="7">
        <v>0</v>
      </c>
      <c r="AK263" s="7">
        <v>0</v>
      </c>
      <c r="AL263" s="179"/>
      <c r="AM263" s="264">
        <f t="shared" si="434"/>
        <v>0</v>
      </c>
      <c r="AN263" s="179">
        <f>2173420*4</f>
        <v>8693680</v>
      </c>
      <c r="AO263" s="7">
        <v>0</v>
      </c>
      <c r="AP263" s="280">
        <f t="shared" si="452"/>
        <v>8693680</v>
      </c>
      <c r="AQ263" s="283">
        <f t="shared" si="453"/>
        <v>0</v>
      </c>
      <c r="AR263" s="48"/>
    </row>
    <row r="264" spans="2:44" s="4" customFormat="1" ht="55.15" customHeight="1">
      <c r="B264" s="35" t="s">
        <v>669</v>
      </c>
      <c r="C264" s="505" t="s">
        <v>657</v>
      </c>
      <c r="D264" s="92"/>
      <c r="E264" s="503" t="s">
        <v>612</v>
      </c>
      <c r="F264" s="513" t="s">
        <v>125</v>
      </c>
      <c r="G264" s="71">
        <v>2024</v>
      </c>
      <c r="H264" s="71">
        <v>2030</v>
      </c>
      <c r="I264" s="7">
        <f>2*20*3*9000</f>
        <v>1080000</v>
      </c>
      <c r="J264" s="7">
        <v>0</v>
      </c>
      <c r="K264" s="280">
        <f t="shared" si="438"/>
        <v>1080000</v>
      </c>
      <c r="L264" s="7">
        <f>2*20*3*9000</f>
        <v>1080000</v>
      </c>
      <c r="M264" s="7">
        <v>0</v>
      </c>
      <c r="N264" s="280">
        <f t="shared" si="439"/>
        <v>1080000</v>
      </c>
      <c r="O264" s="7">
        <f>2*20*3*9000</f>
        <v>1080000</v>
      </c>
      <c r="P264" s="7">
        <v>0</v>
      </c>
      <c r="Q264" s="280">
        <f t="shared" si="440"/>
        <v>1080000</v>
      </c>
      <c r="R264" s="7">
        <f>2*20*3*9000</f>
        <v>1080000</v>
      </c>
      <c r="S264" s="7">
        <v>0</v>
      </c>
      <c r="T264" s="280">
        <f t="shared" si="441"/>
        <v>1080000</v>
      </c>
      <c r="U264" s="7">
        <f>2*20*3*9000</f>
        <v>1080000</v>
      </c>
      <c r="V264" s="7">
        <v>0</v>
      </c>
      <c r="W264" s="280">
        <f t="shared" si="429"/>
        <v>1080000</v>
      </c>
      <c r="X264" s="7">
        <f>2*20*3*9000</f>
        <v>1080000</v>
      </c>
      <c r="Y264" s="7">
        <v>0</v>
      </c>
      <c r="Z264" s="280">
        <f t="shared" si="430"/>
        <v>1080000</v>
      </c>
      <c r="AA264" s="7">
        <f>2*20*3*9000</f>
        <v>1080000</v>
      </c>
      <c r="AB264" s="7">
        <v>0</v>
      </c>
      <c r="AC264" s="280">
        <f t="shared" si="431"/>
        <v>1080000</v>
      </c>
      <c r="AD264" s="106">
        <f t="shared" si="432"/>
        <v>7560000</v>
      </c>
      <c r="AE264" s="106">
        <f t="shared" si="432"/>
        <v>0</v>
      </c>
      <c r="AF264" s="280">
        <f t="shared" si="451"/>
        <v>7560000</v>
      </c>
      <c r="AG264" s="179">
        <f>1080000*3</f>
        <v>3240000</v>
      </c>
      <c r="AH264" s="7">
        <v>0</v>
      </c>
      <c r="AI264" s="280">
        <f t="shared" si="442"/>
        <v>3240000</v>
      </c>
      <c r="AJ264" s="7">
        <v>0</v>
      </c>
      <c r="AK264" s="7">
        <v>0</v>
      </c>
      <c r="AL264" s="179"/>
      <c r="AM264" s="264">
        <f t="shared" si="434"/>
        <v>0</v>
      </c>
      <c r="AN264" s="179">
        <f>1080000*4</f>
        <v>4320000</v>
      </c>
      <c r="AO264" s="7">
        <v>0</v>
      </c>
      <c r="AP264" s="280">
        <f t="shared" si="452"/>
        <v>4320000</v>
      </c>
      <c r="AQ264" s="283">
        <f t="shared" si="453"/>
        <v>0</v>
      </c>
      <c r="AR264" s="48"/>
    </row>
    <row r="265" spans="2:44" s="4" customFormat="1" ht="51.6" customHeight="1" thickBot="1">
      <c r="B265" s="35" t="s">
        <v>670</v>
      </c>
      <c r="C265" s="451" t="s">
        <v>658</v>
      </c>
      <c r="D265" s="92"/>
      <c r="E265" s="514" t="s">
        <v>663</v>
      </c>
      <c r="F265" s="515"/>
      <c r="G265" s="71">
        <v>2024</v>
      </c>
      <c r="H265" s="71">
        <v>2030</v>
      </c>
      <c r="I265" s="7">
        <f>2*20*3*9000</f>
        <v>1080000</v>
      </c>
      <c r="J265" s="7">
        <v>0</v>
      </c>
      <c r="K265" s="280">
        <f t="shared" si="438"/>
        <v>1080000</v>
      </c>
      <c r="L265" s="7">
        <f>2*20*3*9000</f>
        <v>1080000</v>
      </c>
      <c r="M265" s="7">
        <v>0</v>
      </c>
      <c r="N265" s="280">
        <f t="shared" si="439"/>
        <v>1080000</v>
      </c>
      <c r="O265" s="7">
        <f>2*20*3*9000</f>
        <v>1080000</v>
      </c>
      <c r="P265" s="7">
        <v>0</v>
      </c>
      <c r="Q265" s="280">
        <f t="shared" si="440"/>
        <v>1080000</v>
      </c>
      <c r="R265" s="7">
        <f>2*20*3*9000</f>
        <v>1080000</v>
      </c>
      <c r="S265" s="7">
        <v>0</v>
      </c>
      <c r="T265" s="280">
        <f t="shared" si="441"/>
        <v>1080000</v>
      </c>
      <c r="U265" s="7">
        <f>2*20*3*9000</f>
        <v>1080000</v>
      </c>
      <c r="V265" s="7">
        <v>0</v>
      </c>
      <c r="W265" s="280">
        <f t="shared" si="429"/>
        <v>1080000</v>
      </c>
      <c r="X265" s="7">
        <f>2*20*3*9000</f>
        <v>1080000</v>
      </c>
      <c r="Y265" s="7">
        <v>0</v>
      </c>
      <c r="Z265" s="280">
        <f t="shared" si="430"/>
        <v>1080000</v>
      </c>
      <c r="AA265" s="7">
        <f>2*20*3*9000</f>
        <v>1080000</v>
      </c>
      <c r="AB265" s="7">
        <v>0</v>
      </c>
      <c r="AC265" s="280">
        <f t="shared" si="431"/>
        <v>1080000</v>
      </c>
      <c r="AD265" s="106">
        <f t="shared" si="432"/>
        <v>7560000</v>
      </c>
      <c r="AE265" s="106">
        <f t="shared" si="432"/>
        <v>0</v>
      </c>
      <c r="AF265" s="280">
        <f t="shared" si="451"/>
        <v>7560000</v>
      </c>
      <c r="AG265" s="179">
        <f>1080000*3</f>
        <v>3240000</v>
      </c>
      <c r="AH265" s="7">
        <v>0</v>
      </c>
      <c r="AI265" s="280">
        <f t="shared" si="442"/>
        <v>3240000</v>
      </c>
      <c r="AJ265" s="7">
        <v>0</v>
      </c>
      <c r="AK265" s="7">
        <v>0</v>
      </c>
      <c r="AL265" s="179"/>
      <c r="AM265" s="264">
        <f t="shared" si="434"/>
        <v>0</v>
      </c>
      <c r="AN265" s="179">
        <f>1080000*4</f>
        <v>4320000</v>
      </c>
      <c r="AO265" s="7">
        <v>0</v>
      </c>
      <c r="AP265" s="280">
        <f t="shared" si="452"/>
        <v>4320000</v>
      </c>
      <c r="AQ265" s="283">
        <f t="shared" si="453"/>
        <v>0</v>
      </c>
      <c r="AR265" s="48"/>
    </row>
    <row r="266" spans="2:44" s="4" customFormat="1" ht="93.75" customHeight="1" thickBot="1">
      <c r="B266" s="210" t="s">
        <v>671</v>
      </c>
      <c r="C266" s="287" t="s">
        <v>675</v>
      </c>
      <c r="D266" s="217"/>
      <c r="E266" s="186" t="s">
        <v>679</v>
      </c>
      <c r="F266" s="186" t="s">
        <v>541</v>
      </c>
      <c r="G266" s="186">
        <v>2024</v>
      </c>
      <c r="H266" s="186">
        <v>2030</v>
      </c>
      <c r="I266" s="218">
        <f>SUM(I267:I269)</f>
        <v>5433550</v>
      </c>
      <c r="J266" s="218">
        <f>SUM(J267:J269)</f>
        <v>0</v>
      </c>
      <c r="K266" s="218">
        <f>SUM(I267:J269)</f>
        <v>5433550</v>
      </c>
      <c r="L266" s="218">
        <f>SUM(L267:L269)</f>
        <v>2173420</v>
      </c>
      <c r="M266" s="218">
        <f>SUM(M267:M269)</f>
        <v>0</v>
      </c>
      <c r="N266" s="218">
        <f>SUM(L267:M269)</f>
        <v>2173420</v>
      </c>
      <c r="O266" s="218">
        <f>SUM(O267:O269)</f>
        <v>2173420</v>
      </c>
      <c r="P266" s="218">
        <f>SUM(P267:P269)</f>
        <v>0</v>
      </c>
      <c r="Q266" s="218">
        <f>SUM(O267:P269)</f>
        <v>2173420</v>
      </c>
      <c r="R266" s="218">
        <f>SUM(R267:R269)</f>
        <v>2173420</v>
      </c>
      <c r="S266" s="218">
        <f>SUM(S267:S269)</f>
        <v>0</v>
      </c>
      <c r="T266" s="218">
        <f>SUM(R267:S269)</f>
        <v>2173420</v>
      </c>
      <c r="U266" s="218">
        <f>SUM(U267:U269)</f>
        <v>2173420</v>
      </c>
      <c r="V266" s="218">
        <f>SUM(V267:V269)</f>
        <v>0</v>
      </c>
      <c r="W266" s="218">
        <f>SUM(U267:V269)</f>
        <v>2173420</v>
      </c>
      <c r="X266" s="218">
        <f>SUM(X267:X269)</f>
        <v>2173420</v>
      </c>
      <c r="Y266" s="218">
        <f>SUM(Y267:Y269)</f>
        <v>0</v>
      </c>
      <c r="Z266" s="218">
        <f>SUM(X267:Y269)</f>
        <v>2173420</v>
      </c>
      <c r="AA266" s="282">
        <f>SUM(AA267:AA269)</f>
        <v>2173420</v>
      </c>
      <c r="AB266" s="282">
        <f>SUM(AB267:AB269)</f>
        <v>0</v>
      </c>
      <c r="AC266" s="282">
        <f>SUM(AA266:AB266)</f>
        <v>2173420</v>
      </c>
      <c r="AD266" s="289">
        <f t="shared" si="432"/>
        <v>18474070</v>
      </c>
      <c r="AE266" s="289">
        <f t="shared" si="432"/>
        <v>0</v>
      </c>
      <c r="AF266" s="290">
        <f>SUM(AD266:AE266)</f>
        <v>18474070</v>
      </c>
      <c r="AG266" s="290">
        <f>SUM(AG267:AG269)</f>
        <v>9780390</v>
      </c>
      <c r="AH266" s="290">
        <f>SUM(AH267:AH269)</f>
        <v>0</v>
      </c>
      <c r="AI266" s="290">
        <f t="shared" ref="AI266" si="454">SUM(AG266:AH266)</f>
        <v>9780390</v>
      </c>
      <c r="AJ266" s="290">
        <f>SUM(AJ267:AJ269)</f>
        <v>0</v>
      </c>
      <c r="AK266" s="290">
        <f>SUM(AK267:AK269)</f>
        <v>0</v>
      </c>
      <c r="AL266" s="290"/>
      <c r="AM266" s="214">
        <f t="shared" ref="AM266" si="455">AJ266+AK266</f>
        <v>0</v>
      </c>
      <c r="AN266" s="290">
        <f>SUM(AN267:AN269)</f>
        <v>8693680</v>
      </c>
      <c r="AO266" s="290">
        <f>SUM(AO267:AO269)</f>
        <v>0</v>
      </c>
      <c r="AP266" s="290">
        <f>SUM(AN266:AO266)</f>
        <v>8693680</v>
      </c>
      <c r="AQ266" s="291">
        <f t="shared" ref="AQ266" si="456">SUM(AP266+AM266+AI266)-AF266</f>
        <v>0</v>
      </c>
      <c r="AR266" s="48"/>
    </row>
    <row r="267" spans="2:44" s="4" customFormat="1" ht="61.9" customHeight="1">
      <c r="B267" s="35" t="s">
        <v>672</v>
      </c>
      <c r="C267" s="505" t="s">
        <v>676</v>
      </c>
      <c r="D267" s="92"/>
      <c r="E267" s="323" t="s">
        <v>612</v>
      </c>
      <c r="F267" s="388" t="s">
        <v>541</v>
      </c>
      <c r="G267" s="345">
        <v>2024</v>
      </c>
      <c r="H267" s="345">
        <v>2030</v>
      </c>
      <c r="I267" s="7">
        <v>0</v>
      </c>
      <c r="J267" s="7">
        <v>0</v>
      </c>
      <c r="K267" s="280">
        <f>SUM(I268:J270)</f>
        <v>11947100</v>
      </c>
      <c r="L267" s="179">
        <v>0</v>
      </c>
      <c r="M267" s="7">
        <v>0</v>
      </c>
      <c r="N267" s="280">
        <f>SUM(L267:M267)</f>
        <v>0</v>
      </c>
      <c r="O267" s="179">
        <v>0</v>
      </c>
      <c r="P267" s="7">
        <v>0</v>
      </c>
      <c r="Q267" s="280">
        <f>SUM(O267:P267)</f>
        <v>0</v>
      </c>
      <c r="R267" s="179">
        <v>0</v>
      </c>
      <c r="S267" s="7">
        <v>0</v>
      </c>
      <c r="T267" s="280">
        <f>SUM(R267:S267)</f>
        <v>0</v>
      </c>
      <c r="U267" s="179">
        <v>0</v>
      </c>
      <c r="V267" s="7">
        <v>0</v>
      </c>
      <c r="W267" s="280">
        <f>SUM(U267:V267)</f>
        <v>0</v>
      </c>
      <c r="X267" s="179">
        <v>0</v>
      </c>
      <c r="Y267" s="179">
        <v>0</v>
      </c>
      <c r="Z267" s="280">
        <f>SUM(X267:Y267)</f>
        <v>0</v>
      </c>
      <c r="AA267" s="179">
        <v>0</v>
      </c>
      <c r="AB267" s="179">
        <v>0</v>
      </c>
      <c r="AC267" s="280">
        <f>SUM(AA267:AB267)</f>
        <v>0</v>
      </c>
      <c r="AD267" s="106">
        <f t="shared" si="432"/>
        <v>0</v>
      </c>
      <c r="AE267" s="106">
        <v>0</v>
      </c>
      <c r="AF267" s="280">
        <f>SUM(AD267:AE267)</f>
        <v>0</v>
      </c>
      <c r="AG267" s="179">
        <v>0</v>
      </c>
      <c r="AH267" s="7">
        <v>0</v>
      </c>
      <c r="AI267" s="280">
        <f>SUM(AG267:AH267)</f>
        <v>0</v>
      </c>
      <c r="AJ267" s="7">
        <v>0</v>
      </c>
      <c r="AK267" s="7">
        <v>0</v>
      </c>
      <c r="AL267" s="179"/>
      <c r="AM267" s="264">
        <f>AJ267+AK267</f>
        <v>0</v>
      </c>
      <c r="AN267" s="179">
        <v>0</v>
      </c>
      <c r="AO267" s="7">
        <v>0</v>
      </c>
      <c r="AP267" s="280">
        <f>SUM(AN267:AO267)</f>
        <v>0</v>
      </c>
      <c r="AQ267" s="283">
        <f t="shared" si="453"/>
        <v>0</v>
      </c>
      <c r="AR267" s="48"/>
    </row>
    <row r="268" spans="2:44" s="4" customFormat="1" ht="73.150000000000006" customHeight="1">
      <c r="B268" s="35" t="s">
        <v>673</v>
      </c>
      <c r="C268" s="327" t="s">
        <v>677</v>
      </c>
      <c r="D268" s="92"/>
      <c r="E268" s="39" t="s">
        <v>541</v>
      </c>
      <c r="F268" s="388"/>
      <c r="G268" s="345">
        <v>2024</v>
      </c>
      <c r="H268" s="345">
        <v>2024</v>
      </c>
      <c r="I268" s="7">
        <v>3260130</v>
      </c>
      <c r="J268" s="7">
        <v>0</v>
      </c>
      <c r="K268" s="280">
        <f>SUM(I269:J271)</f>
        <v>11947100</v>
      </c>
      <c r="L268" s="179">
        <v>0</v>
      </c>
      <c r="M268" s="7">
        <v>0</v>
      </c>
      <c r="N268" s="280">
        <f t="shared" ref="N268:N269" si="457">SUM(L268:M268)</f>
        <v>0</v>
      </c>
      <c r="O268" s="179">
        <v>0</v>
      </c>
      <c r="P268" s="7">
        <v>0</v>
      </c>
      <c r="Q268" s="280">
        <f t="shared" ref="Q268:Q269" si="458">SUM(O268:P268)</f>
        <v>0</v>
      </c>
      <c r="R268" s="179">
        <v>0</v>
      </c>
      <c r="S268" s="7">
        <v>0</v>
      </c>
      <c r="T268" s="280">
        <f t="shared" ref="T268:T269" si="459">SUM(R268:S268)</f>
        <v>0</v>
      </c>
      <c r="U268" s="179">
        <v>0</v>
      </c>
      <c r="V268" s="7">
        <v>0</v>
      </c>
      <c r="W268" s="280">
        <f t="shared" ref="W268:W269" si="460">SUM(U268:V268)</f>
        <v>0</v>
      </c>
      <c r="X268" s="179">
        <v>0</v>
      </c>
      <c r="Y268" s="179">
        <v>0</v>
      </c>
      <c r="Z268" s="280">
        <f t="shared" ref="Z268:Z270" si="461">SUM(X268:Y268)</f>
        <v>0</v>
      </c>
      <c r="AA268" s="179">
        <v>0</v>
      </c>
      <c r="AB268" s="179">
        <v>0</v>
      </c>
      <c r="AC268" s="280">
        <f t="shared" ref="AC268:AC275" si="462">SUM(AA268:AB268)</f>
        <v>0</v>
      </c>
      <c r="AD268" s="106">
        <f t="shared" si="432"/>
        <v>3260130</v>
      </c>
      <c r="AE268" s="106">
        <v>0</v>
      </c>
      <c r="AF268" s="280">
        <f t="shared" ref="AF268:AF269" si="463">SUM(AD268:AE268)</f>
        <v>3260130</v>
      </c>
      <c r="AG268" s="179">
        <v>3260130</v>
      </c>
      <c r="AH268" s="7">
        <v>0</v>
      </c>
      <c r="AI268" s="280">
        <f t="shared" ref="AI268:AI269" si="464">SUM(AG268:AH268)</f>
        <v>3260130</v>
      </c>
      <c r="AJ268" s="7">
        <v>0</v>
      </c>
      <c r="AK268" s="7">
        <v>0</v>
      </c>
      <c r="AL268" s="179"/>
      <c r="AM268" s="264">
        <f t="shared" ref="AM268:AM269" si="465">AJ268+AK268</f>
        <v>0</v>
      </c>
      <c r="AN268" s="179">
        <v>0</v>
      </c>
      <c r="AO268" s="7">
        <v>0</v>
      </c>
      <c r="AP268" s="280">
        <f t="shared" ref="AP268:AP269" si="466">SUM(AN268:AO268)</f>
        <v>0</v>
      </c>
      <c r="AQ268" s="283">
        <f t="shared" si="453"/>
        <v>0</v>
      </c>
      <c r="AR268" s="48"/>
    </row>
    <row r="269" spans="2:44" s="4" customFormat="1" ht="53.45" customHeight="1" thickBot="1">
      <c r="B269" s="35" t="s">
        <v>674</v>
      </c>
      <c r="C269" s="328" t="s">
        <v>678</v>
      </c>
      <c r="D269" s="92"/>
      <c r="E269" s="389" t="s">
        <v>541</v>
      </c>
      <c r="F269" s="390"/>
      <c r="G269" s="373">
        <v>2024</v>
      </c>
      <c r="H269" s="373">
        <v>2030</v>
      </c>
      <c r="I269" s="7">
        <v>2173420</v>
      </c>
      <c r="J269" s="7">
        <v>0</v>
      </c>
      <c r="K269" s="280">
        <f>SUM(I270:J272)</f>
        <v>9773680</v>
      </c>
      <c r="L269" s="7">
        <v>2173420</v>
      </c>
      <c r="M269" s="7">
        <v>0</v>
      </c>
      <c r="N269" s="280">
        <f t="shared" si="457"/>
        <v>2173420</v>
      </c>
      <c r="O269" s="7">
        <v>2173420</v>
      </c>
      <c r="P269" s="7">
        <v>0</v>
      </c>
      <c r="Q269" s="280">
        <f t="shared" si="458"/>
        <v>2173420</v>
      </c>
      <c r="R269" s="7">
        <v>2173420</v>
      </c>
      <c r="S269" s="7">
        <v>0</v>
      </c>
      <c r="T269" s="280">
        <f t="shared" si="459"/>
        <v>2173420</v>
      </c>
      <c r="U269" s="7">
        <v>2173420</v>
      </c>
      <c r="V269" s="7">
        <v>0</v>
      </c>
      <c r="W269" s="280">
        <f t="shared" si="460"/>
        <v>2173420</v>
      </c>
      <c r="X269" s="7">
        <v>2173420</v>
      </c>
      <c r="Y269" s="7">
        <v>0</v>
      </c>
      <c r="Z269" s="280">
        <f t="shared" si="461"/>
        <v>2173420</v>
      </c>
      <c r="AA269" s="7">
        <v>2173420</v>
      </c>
      <c r="AB269" s="7">
        <v>0</v>
      </c>
      <c r="AC269" s="280">
        <f t="shared" si="462"/>
        <v>2173420</v>
      </c>
      <c r="AD269" s="106">
        <f t="shared" si="432"/>
        <v>15213940</v>
      </c>
      <c r="AE269" s="106">
        <v>0</v>
      </c>
      <c r="AF269" s="280">
        <f t="shared" si="463"/>
        <v>15213940</v>
      </c>
      <c r="AG269" s="179">
        <f>2173420*3</f>
        <v>6520260</v>
      </c>
      <c r="AH269" s="7">
        <v>0</v>
      </c>
      <c r="AI269" s="280">
        <f t="shared" si="464"/>
        <v>6520260</v>
      </c>
      <c r="AJ269" s="7">
        <v>0</v>
      </c>
      <c r="AK269" s="7">
        <v>0</v>
      </c>
      <c r="AL269" s="179"/>
      <c r="AM269" s="264">
        <f t="shared" si="465"/>
        <v>0</v>
      </c>
      <c r="AN269" s="179">
        <f>2173420*4</f>
        <v>8693680</v>
      </c>
      <c r="AO269" s="7">
        <v>0</v>
      </c>
      <c r="AP269" s="280">
        <f t="shared" si="466"/>
        <v>8693680</v>
      </c>
      <c r="AQ269" s="283">
        <f t="shared" si="453"/>
        <v>0</v>
      </c>
      <c r="AR269" s="48"/>
    </row>
    <row r="270" spans="2:44" s="4" customFormat="1" ht="93.75" customHeight="1" thickBot="1">
      <c r="B270" s="210" t="s">
        <v>680</v>
      </c>
      <c r="C270" s="287" t="s">
        <v>686</v>
      </c>
      <c r="D270" s="217"/>
      <c r="E270" s="186" t="s">
        <v>695</v>
      </c>
      <c r="F270" s="186" t="s">
        <v>694</v>
      </c>
      <c r="G270" s="186">
        <v>2024</v>
      </c>
      <c r="H270" s="186">
        <v>2030</v>
      </c>
      <c r="I270" s="218">
        <f>SUM(I271:I275)</f>
        <v>6513550</v>
      </c>
      <c r="J270" s="218">
        <f>SUM(J271:J275)</f>
        <v>0</v>
      </c>
      <c r="K270" s="218">
        <f t="shared" ref="K270:K275" si="467">SUM(I270:J270)</f>
        <v>6513550</v>
      </c>
      <c r="L270" s="218">
        <f>SUM(L271:L275)</f>
        <v>7600260</v>
      </c>
      <c r="M270" s="218">
        <f>SUM(M271:M275)</f>
        <v>0</v>
      </c>
      <c r="N270" s="218">
        <f t="shared" ref="N270" si="468">SUM(L270:M270)</f>
        <v>7600260</v>
      </c>
      <c r="O270" s="218">
        <f>SUM(O271:O275)</f>
        <v>4340130</v>
      </c>
      <c r="P270" s="218">
        <f>SUM(P271:P275)</f>
        <v>0</v>
      </c>
      <c r="Q270" s="218">
        <f t="shared" ref="Q270" si="469">SUM(O270:P270)</f>
        <v>4340130</v>
      </c>
      <c r="R270" s="218">
        <f>SUM(R271:R275)</f>
        <v>4340130</v>
      </c>
      <c r="S270" s="218">
        <f>SUM(S271:S275)</f>
        <v>0</v>
      </c>
      <c r="T270" s="218">
        <f t="shared" ref="T270" si="470">SUM(R270:S270)</f>
        <v>4340130</v>
      </c>
      <c r="U270" s="218">
        <f>SUM(U271:U275)</f>
        <v>4340130</v>
      </c>
      <c r="V270" s="218">
        <f>SUM(V271:V275)</f>
        <v>0</v>
      </c>
      <c r="W270" s="218">
        <f t="shared" ref="W270" si="471">SUM(U270:V270)</f>
        <v>4340130</v>
      </c>
      <c r="X270" s="218">
        <f>SUM(X271:X275)</f>
        <v>4340130</v>
      </c>
      <c r="Y270" s="218">
        <f>SUM(Y271:Y275)</f>
        <v>0</v>
      </c>
      <c r="Z270" s="218">
        <f t="shared" si="461"/>
        <v>4340130</v>
      </c>
      <c r="AA270" s="282">
        <f>SUM(AA271:AA275)</f>
        <v>4340130</v>
      </c>
      <c r="AB270" s="290">
        <f>SUM(AB271:AB275)</f>
        <v>0</v>
      </c>
      <c r="AC270" s="290">
        <f t="shared" si="462"/>
        <v>4340130</v>
      </c>
      <c r="AD270" s="289">
        <f t="shared" ref="AD270:AE279" si="472">I270+L270+O270+R270+U270+X270+AA270</f>
        <v>35814460</v>
      </c>
      <c r="AE270" s="289">
        <f t="shared" si="432"/>
        <v>0</v>
      </c>
      <c r="AF270" s="290">
        <f>SUM(AD270:AE270)</f>
        <v>35814460</v>
      </c>
      <c r="AG270" s="290">
        <f>SUM(AG271:AG275)</f>
        <v>18453940</v>
      </c>
      <c r="AH270" s="290">
        <f>SUM(AH271:AH275)</f>
        <v>0</v>
      </c>
      <c r="AI270" s="290">
        <f t="shared" ref="AI270" si="473">SUM(AG270:AH270)</f>
        <v>18453940</v>
      </c>
      <c r="AJ270" s="290">
        <f>SUM(AJ271:AJ275)</f>
        <v>0</v>
      </c>
      <c r="AK270" s="290">
        <f>SUM(AK271:AK275)</f>
        <v>0</v>
      </c>
      <c r="AL270" s="290"/>
      <c r="AM270" s="214">
        <f t="shared" ref="AM270:AM275" si="474">AJ270+AK270</f>
        <v>0</v>
      </c>
      <c r="AN270" s="290">
        <f>SUM(AN271:AN275)</f>
        <v>17360520</v>
      </c>
      <c r="AO270" s="290">
        <f>SUM(AO271:AO275)</f>
        <v>0</v>
      </c>
      <c r="AP270" s="290">
        <f>SUM(AN270:AO270)</f>
        <v>17360520</v>
      </c>
      <c r="AQ270" s="291">
        <f t="shared" ref="AQ270:AQ275" si="475">SUM(AP270+AM270+AI270)-AF270</f>
        <v>0</v>
      </c>
      <c r="AR270" s="48"/>
    </row>
    <row r="271" spans="2:44" s="4" customFormat="1" ht="72" customHeight="1">
      <c r="B271" s="35" t="s">
        <v>681</v>
      </c>
      <c r="C271" s="516" t="s">
        <v>687</v>
      </c>
      <c r="D271" s="92"/>
      <c r="E271" s="522" t="s">
        <v>692</v>
      </c>
      <c r="F271" s="523"/>
      <c r="G271" s="519">
        <v>2024</v>
      </c>
      <c r="H271" s="519">
        <v>2024</v>
      </c>
      <c r="I271" s="179">
        <v>3260130</v>
      </c>
      <c r="J271" s="179">
        <v>0</v>
      </c>
      <c r="K271" s="280">
        <f t="shared" si="467"/>
        <v>3260130</v>
      </c>
      <c r="L271" s="179">
        <v>0</v>
      </c>
      <c r="M271" s="179">
        <v>0</v>
      </c>
      <c r="N271" s="280">
        <f>SUM(L271:M271)</f>
        <v>0</v>
      </c>
      <c r="O271" s="179">
        <v>0</v>
      </c>
      <c r="P271" s="179">
        <v>0</v>
      </c>
      <c r="Q271" s="280">
        <f>SUM(O271:P271)</f>
        <v>0</v>
      </c>
      <c r="R271" s="179">
        <v>0</v>
      </c>
      <c r="S271" s="179">
        <v>0</v>
      </c>
      <c r="T271" s="280">
        <f>SUM(R271:S271)</f>
        <v>0</v>
      </c>
      <c r="U271" s="179">
        <v>0</v>
      </c>
      <c r="V271" s="179">
        <v>0</v>
      </c>
      <c r="W271" s="280">
        <f>SUM(U271:V271)</f>
        <v>0</v>
      </c>
      <c r="X271" s="179">
        <v>0</v>
      </c>
      <c r="Y271" s="179">
        <v>0</v>
      </c>
      <c r="Z271" s="280">
        <f>SUM(X271:Y271)</f>
        <v>0</v>
      </c>
      <c r="AA271" s="286">
        <v>0</v>
      </c>
      <c r="AB271" s="179">
        <v>0</v>
      </c>
      <c r="AC271" s="280">
        <f t="shared" si="462"/>
        <v>0</v>
      </c>
      <c r="AD271" s="106">
        <f t="shared" si="472"/>
        <v>3260130</v>
      </c>
      <c r="AE271" s="106">
        <f t="shared" si="432"/>
        <v>0</v>
      </c>
      <c r="AF271" s="280">
        <f t="shared" ref="AF271:AF275" si="476">SUM(AD271:AE271)</f>
        <v>3260130</v>
      </c>
      <c r="AG271" s="179">
        <v>3260130</v>
      </c>
      <c r="AH271" s="179">
        <v>0</v>
      </c>
      <c r="AI271" s="280">
        <f>SUM(AG271:AH271)</f>
        <v>3260130</v>
      </c>
      <c r="AJ271" s="179">
        <v>0</v>
      </c>
      <c r="AK271" s="179">
        <v>0</v>
      </c>
      <c r="AL271" s="179"/>
      <c r="AM271" s="264">
        <f t="shared" si="474"/>
        <v>0</v>
      </c>
      <c r="AN271" s="179">
        <v>0</v>
      </c>
      <c r="AO271" s="179">
        <v>0</v>
      </c>
      <c r="AP271" s="280">
        <f>SUM(AN271:AO271)</f>
        <v>0</v>
      </c>
      <c r="AQ271" s="283">
        <f t="shared" si="475"/>
        <v>0</v>
      </c>
      <c r="AR271" s="48"/>
    </row>
    <row r="272" spans="2:44" s="4" customFormat="1" ht="49.15" customHeight="1">
      <c r="B272" s="35" t="s">
        <v>682</v>
      </c>
      <c r="C272" s="500" t="s">
        <v>688</v>
      </c>
      <c r="D272" s="92"/>
      <c r="E272" s="518" t="s">
        <v>693</v>
      </c>
      <c r="F272" s="524" t="s">
        <v>694</v>
      </c>
      <c r="G272" s="520">
        <v>2025</v>
      </c>
      <c r="H272" s="520">
        <v>2030</v>
      </c>
      <c r="I272" s="179">
        <v>0</v>
      </c>
      <c r="J272" s="179">
        <v>0</v>
      </c>
      <c r="K272" s="280">
        <f t="shared" si="467"/>
        <v>0</v>
      </c>
      <c r="L272" s="179">
        <v>1086710</v>
      </c>
      <c r="M272" s="179">
        <v>0</v>
      </c>
      <c r="N272" s="280">
        <f t="shared" ref="N272:N275" si="477">SUM(L272:M272)</f>
        <v>1086710</v>
      </c>
      <c r="O272" s="179">
        <v>1086710</v>
      </c>
      <c r="P272" s="179">
        <v>0</v>
      </c>
      <c r="Q272" s="280">
        <f t="shared" ref="Q272:Q275" si="478">SUM(O272:P272)</f>
        <v>1086710</v>
      </c>
      <c r="R272" s="179">
        <v>1086710</v>
      </c>
      <c r="S272" s="179">
        <v>0</v>
      </c>
      <c r="T272" s="280">
        <f t="shared" ref="T272:T275" si="479">SUM(R272:S272)</f>
        <v>1086710</v>
      </c>
      <c r="U272" s="179">
        <v>1086710</v>
      </c>
      <c r="V272" s="179">
        <v>0</v>
      </c>
      <c r="W272" s="280">
        <f t="shared" ref="W272:W275" si="480">SUM(U272:V272)</f>
        <v>1086710</v>
      </c>
      <c r="X272" s="179">
        <v>1086710</v>
      </c>
      <c r="Y272" s="179">
        <v>0</v>
      </c>
      <c r="Z272" s="280">
        <f t="shared" ref="Z272:Z275" si="481">SUM(X272:Y272)</f>
        <v>1086710</v>
      </c>
      <c r="AA272" s="179">
        <v>1086710</v>
      </c>
      <c r="AB272" s="179">
        <v>0</v>
      </c>
      <c r="AC272" s="280">
        <f t="shared" si="462"/>
        <v>1086710</v>
      </c>
      <c r="AD272" s="106">
        <f t="shared" si="472"/>
        <v>6520260</v>
      </c>
      <c r="AE272" s="106">
        <f t="shared" si="432"/>
        <v>0</v>
      </c>
      <c r="AF272" s="280">
        <f t="shared" si="476"/>
        <v>6520260</v>
      </c>
      <c r="AG272" s="179">
        <f>1086710*2</f>
        <v>2173420</v>
      </c>
      <c r="AH272" s="179">
        <v>0</v>
      </c>
      <c r="AI272" s="280">
        <f t="shared" ref="AI272:AI275" si="482">SUM(AG272:AH272)</f>
        <v>2173420</v>
      </c>
      <c r="AJ272" s="179">
        <v>0</v>
      </c>
      <c r="AK272" s="179">
        <v>0</v>
      </c>
      <c r="AL272" s="179"/>
      <c r="AM272" s="264">
        <f t="shared" si="474"/>
        <v>0</v>
      </c>
      <c r="AN272" s="179">
        <f>1086710*4</f>
        <v>4346840</v>
      </c>
      <c r="AO272" s="179">
        <v>0</v>
      </c>
      <c r="AP272" s="280">
        <f t="shared" ref="AP272:AP275" si="483">SUM(AN272:AO272)</f>
        <v>4346840</v>
      </c>
      <c r="AQ272" s="283">
        <f t="shared" si="475"/>
        <v>0</v>
      </c>
      <c r="AR272" s="48"/>
    </row>
    <row r="273" spans="2:44" s="4" customFormat="1" ht="57.6" customHeight="1">
      <c r="B273" s="35" t="s">
        <v>683</v>
      </c>
      <c r="C273" s="517" t="s">
        <v>689</v>
      </c>
      <c r="D273" s="92"/>
      <c r="E273" s="518" t="s">
        <v>695</v>
      </c>
      <c r="F273" s="524"/>
      <c r="G273" s="521">
        <v>2025</v>
      </c>
      <c r="H273" s="521">
        <v>2025</v>
      </c>
      <c r="I273" s="179">
        <v>0</v>
      </c>
      <c r="J273" s="179">
        <v>0</v>
      </c>
      <c r="K273" s="280">
        <f t="shared" si="467"/>
        <v>0</v>
      </c>
      <c r="L273" s="179">
        <v>3260130</v>
      </c>
      <c r="M273" s="179">
        <v>0</v>
      </c>
      <c r="N273" s="280">
        <f t="shared" si="477"/>
        <v>3260130</v>
      </c>
      <c r="O273" s="179">
        <v>0</v>
      </c>
      <c r="P273" s="179">
        <v>0</v>
      </c>
      <c r="Q273" s="280">
        <f t="shared" si="478"/>
        <v>0</v>
      </c>
      <c r="R273" s="179">
        <v>0</v>
      </c>
      <c r="S273" s="179">
        <v>0</v>
      </c>
      <c r="T273" s="280">
        <f t="shared" si="479"/>
        <v>0</v>
      </c>
      <c r="U273" s="179">
        <v>0</v>
      </c>
      <c r="V273" s="179">
        <v>0</v>
      </c>
      <c r="W273" s="280">
        <f t="shared" si="480"/>
        <v>0</v>
      </c>
      <c r="X273" s="179">
        <v>0</v>
      </c>
      <c r="Y273" s="179">
        <v>0</v>
      </c>
      <c r="Z273" s="280">
        <f t="shared" si="481"/>
        <v>0</v>
      </c>
      <c r="AA273" s="179">
        <v>0</v>
      </c>
      <c r="AB273" s="179">
        <v>0</v>
      </c>
      <c r="AC273" s="280">
        <f t="shared" si="462"/>
        <v>0</v>
      </c>
      <c r="AD273" s="106">
        <f t="shared" si="472"/>
        <v>3260130</v>
      </c>
      <c r="AE273" s="106">
        <f t="shared" si="432"/>
        <v>0</v>
      </c>
      <c r="AF273" s="280">
        <f t="shared" si="476"/>
        <v>3260130</v>
      </c>
      <c r="AG273" s="179">
        <v>3260130</v>
      </c>
      <c r="AH273" s="179">
        <v>0</v>
      </c>
      <c r="AI273" s="280">
        <f t="shared" si="482"/>
        <v>3260130</v>
      </c>
      <c r="AJ273" s="179">
        <v>0</v>
      </c>
      <c r="AK273" s="179">
        <v>0</v>
      </c>
      <c r="AL273" s="179"/>
      <c r="AM273" s="264">
        <f t="shared" si="474"/>
        <v>0</v>
      </c>
      <c r="AN273" s="179">
        <v>0</v>
      </c>
      <c r="AO273" s="179">
        <v>0</v>
      </c>
      <c r="AP273" s="280">
        <f t="shared" si="483"/>
        <v>0</v>
      </c>
      <c r="AQ273" s="283">
        <f t="shared" si="475"/>
        <v>0</v>
      </c>
      <c r="AR273" s="48"/>
    </row>
    <row r="274" spans="2:44" s="4" customFormat="1" ht="48" customHeight="1">
      <c r="B274" s="35" t="s">
        <v>684</v>
      </c>
      <c r="C274" s="517" t="s">
        <v>690</v>
      </c>
      <c r="D274" s="92"/>
      <c r="E274" s="518" t="s">
        <v>695</v>
      </c>
      <c r="F274" s="524"/>
      <c r="G274" s="521">
        <v>2024</v>
      </c>
      <c r="H274" s="521">
        <v>2030</v>
      </c>
      <c r="I274" s="179">
        <v>2173420</v>
      </c>
      <c r="J274" s="179">
        <v>0</v>
      </c>
      <c r="K274" s="280">
        <f t="shared" si="467"/>
        <v>2173420</v>
      </c>
      <c r="L274" s="179">
        <v>2173420</v>
      </c>
      <c r="M274" s="179">
        <v>0</v>
      </c>
      <c r="N274" s="280">
        <f t="shared" si="477"/>
        <v>2173420</v>
      </c>
      <c r="O274" s="179">
        <v>2173420</v>
      </c>
      <c r="P274" s="179">
        <v>0</v>
      </c>
      <c r="Q274" s="280">
        <f t="shared" si="478"/>
        <v>2173420</v>
      </c>
      <c r="R274" s="179">
        <v>2173420</v>
      </c>
      <c r="S274" s="179">
        <v>0</v>
      </c>
      <c r="T274" s="280">
        <f t="shared" si="479"/>
        <v>2173420</v>
      </c>
      <c r="U274" s="179">
        <v>2173420</v>
      </c>
      <c r="V274" s="179">
        <v>0</v>
      </c>
      <c r="W274" s="280">
        <f t="shared" si="480"/>
        <v>2173420</v>
      </c>
      <c r="X274" s="179">
        <v>2173420</v>
      </c>
      <c r="Y274" s="179">
        <v>0</v>
      </c>
      <c r="Z274" s="280">
        <f t="shared" si="481"/>
        <v>2173420</v>
      </c>
      <c r="AA274" s="179">
        <v>2173420</v>
      </c>
      <c r="AB274" s="179">
        <v>0</v>
      </c>
      <c r="AC274" s="280">
        <f t="shared" si="462"/>
        <v>2173420</v>
      </c>
      <c r="AD274" s="106">
        <f t="shared" si="472"/>
        <v>15213940</v>
      </c>
      <c r="AE274" s="106">
        <f t="shared" si="432"/>
        <v>0</v>
      </c>
      <c r="AF274" s="280">
        <f t="shared" si="476"/>
        <v>15213940</v>
      </c>
      <c r="AG274" s="179">
        <f>2173420*3</f>
        <v>6520260</v>
      </c>
      <c r="AH274" s="179">
        <v>0</v>
      </c>
      <c r="AI274" s="280">
        <f t="shared" si="482"/>
        <v>6520260</v>
      </c>
      <c r="AJ274" s="179">
        <v>0</v>
      </c>
      <c r="AK274" s="179">
        <v>0</v>
      </c>
      <c r="AL274" s="179"/>
      <c r="AM274" s="264">
        <f t="shared" si="474"/>
        <v>0</v>
      </c>
      <c r="AN274" s="179">
        <f>2173420*4</f>
        <v>8693680</v>
      </c>
      <c r="AO274" s="179"/>
      <c r="AP274" s="280">
        <f t="shared" si="483"/>
        <v>8693680</v>
      </c>
      <c r="AQ274" s="283">
        <f t="shared" si="475"/>
        <v>0</v>
      </c>
      <c r="AR274" s="48"/>
    </row>
    <row r="275" spans="2:44" s="4" customFormat="1" ht="71.45" customHeight="1">
      <c r="B275" s="88" t="s">
        <v>685</v>
      </c>
      <c r="C275" s="525" t="s">
        <v>691</v>
      </c>
      <c r="D275" s="180"/>
      <c r="E275" s="526" t="s">
        <v>695</v>
      </c>
      <c r="F275" s="527"/>
      <c r="G275" s="521">
        <v>2024</v>
      </c>
      <c r="H275" s="521">
        <v>2030</v>
      </c>
      <c r="I275" s="179">
        <f>2*20*3*9000</f>
        <v>1080000</v>
      </c>
      <c r="J275" s="179">
        <v>0</v>
      </c>
      <c r="K275" s="280">
        <f t="shared" si="467"/>
        <v>1080000</v>
      </c>
      <c r="L275" s="179">
        <f>2*20*3*9000</f>
        <v>1080000</v>
      </c>
      <c r="M275" s="179">
        <v>0</v>
      </c>
      <c r="N275" s="280">
        <f t="shared" si="477"/>
        <v>1080000</v>
      </c>
      <c r="O275" s="179">
        <f>2*20*3*9000</f>
        <v>1080000</v>
      </c>
      <c r="P275" s="179">
        <v>0</v>
      </c>
      <c r="Q275" s="280">
        <f t="shared" si="478"/>
        <v>1080000</v>
      </c>
      <c r="R275" s="179">
        <f>2*20*3*9000</f>
        <v>1080000</v>
      </c>
      <c r="S275" s="179">
        <v>0</v>
      </c>
      <c r="T275" s="280">
        <f t="shared" si="479"/>
        <v>1080000</v>
      </c>
      <c r="U275" s="179">
        <f>2*20*3*9000</f>
        <v>1080000</v>
      </c>
      <c r="V275" s="179">
        <v>0</v>
      </c>
      <c r="W275" s="280">
        <f t="shared" si="480"/>
        <v>1080000</v>
      </c>
      <c r="X275" s="179">
        <f>2*20*3*9000</f>
        <v>1080000</v>
      </c>
      <c r="Y275" s="179">
        <v>0</v>
      </c>
      <c r="Z275" s="280">
        <f t="shared" si="481"/>
        <v>1080000</v>
      </c>
      <c r="AA275" s="179">
        <f>2*20*3*9000</f>
        <v>1080000</v>
      </c>
      <c r="AB275" s="179">
        <v>0</v>
      </c>
      <c r="AC275" s="280">
        <f t="shared" si="462"/>
        <v>1080000</v>
      </c>
      <c r="AD275" s="106">
        <f t="shared" si="472"/>
        <v>7560000</v>
      </c>
      <c r="AE275" s="106">
        <f t="shared" si="432"/>
        <v>0</v>
      </c>
      <c r="AF275" s="280">
        <f t="shared" si="476"/>
        <v>7560000</v>
      </c>
      <c r="AG275" s="179">
        <f>1080000*3</f>
        <v>3240000</v>
      </c>
      <c r="AH275" s="179">
        <v>0</v>
      </c>
      <c r="AI275" s="280">
        <f t="shared" si="482"/>
        <v>3240000</v>
      </c>
      <c r="AJ275" s="179">
        <v>0</v>
      </c>
      <c r="AK275" s="179">
        <v>0</v>
      </c>
      <c r="AL275" s="179"/>
      <c r="AM275" s="264">
        <f t="shared" si="474"/>
        <v>0</v>
      </c>
      <c r="AN275" s="179">
        <f>1080000*4</f>
        <v>4320000</v>
      </c>
      <c r="AO275" s="179">
        <v>0</v>
      </c>
      <c r="AP275" s="280">
        <f t="shared" si="483"/>
        <v>4320000</v>
      </c>
      <c r="AQ275" s="283">
        <f t="shared" si="475"/>
        <v>0</v>
      </c>
      <c r="AR275" s="48"/>
    </row>
    <row r="276" spans="2:44" s="4" customFormat="1" ht="93.75" customHeight="1">
      <c r="B276" s="210" t="s">
        <v>696</v>
      </c>
      <c r="C276" s="287" t="s">
        <v>704</v>
      </c>
      <c r="D276" s="217"/>
      <c r="E276" s="186" t="s">
        <v>370</v>
      </c>
      <c r="F276" s="186"/>
      <c r="G276" s="186">
        <v>2024</v>
      </c>
      <c r="H276" s="186">
        <v>2030</v>
      </c>
      <c r="I276" s="218">
        <f>SUM(I277:I279)</f>
        <v>4346840</v>
      </c>
      <c r="J276" s="218">
        <f>SUM(J277:J279)</f>
        <v>0</v>
      </c>
      <c r="K276" s="218">
        <f t="shared" ref="K276:K278" si="484">SUM(I276:J276)</f>
        <v>4346840</v>
      </c>
      <c r="L276" s="218">
        <f>SUM(L277:L279)</f>
        <v>4346840</v>
      </c>
      <c r="M276" s="218">
        <f>SUM(M277:M279)</f>
        <v>0</v>
      </c>
      <c r="N276" s="218">
        <f t="shared" ref="N276:N278" si="485">SUM(L276:M276)</f>
        <v>4346840</v>
      </c>
      <c r="O276" s="218">
        <f>SUM(O277:O279)</f>
        <v>4346840</v>
      </c>
      <c r="P276" s="218">
        <f>SUM(P277:P279)</f>
        <v>0</v>
      </c>
      <c r="Q276" s="218">
        <f t="shared" ref="Q276:Q278" si="486">SUM(O276:P276)</f>
        <v>4346840</v>
      </c>
      <c r="R276" s="218">
        <f>SUM(R277:R279)</f>
        <v>4346840</v>
      </c>
      <c r="S276" s="218">
        <f>SUM(S277:S279)</f>
        <v>0</v>
      </c>
      <c r="T276" s="218">
        <f t="shared" ref="T276:T278" si="487">SUM(R276:S276)</f>
        <v>4346840</v>
      </c>
      <c r="U276" s="218">
        <f>SUM(U277:U279)</f>
        <v>4346840</v>
      </c>
      <c r="V276" s="218">
        <f>SUM(V277:V279)</f>
        <v>0</v>
      </c>
      <c r="W276" s="218">
        <f t="shared" ref="W276:W278" si="488">SUM(U276:V276)</f>
        <v>4346840</v>
      </c>
      <c r="X276" s="218">
        <f>SUM(X277:X279)</f>
        <v>4346840</v>
      </c>
      <c r="Y276" s="218">
        <f>SUM(Y277:Y279)</f>
        <v>0</v>
      </c>
      <c r="Z276" s="218">
        <f>SUM(X276:Y276)</f>
        <v>4346840</v>
      </c>
      <c r="AA276" s="218">
        <f>SUM(AA277:AA279)</f>
        <v>4346840</v>
      </c>
      <c r="AB276" s="218">
        <f>SUM(AB277:AB279)</f>
        <v>0</v>
      </c>
      <c r="AC276" s="218">
        <f>SUM(AA276:AB276)</f>
        <v>4346840</v>
      </c>
      <c r="AD276" s="212">
        <f t="shared" si="472"/>
        <v>30427880</v>
      </c>
      <c r="AE276" s="212">
        <f t="shared" si="472"/>
        <v>0</v>
      </c>
      <c r="AF276" s="218">
        <f>SUM(AD276:AE276)</f>
        <v>30427880</v>
      </c>
      <c r="AG276" s="218">
        <f>SUM(AG277:AG279)</f>
        <v>13040520</v>
      </c>
      <c r="AH276" s="218">
        <f>SUM(AH277:AH279)</f>
        <v>0</v>
      </c>
      <c r="AI276" s="218">
        <f t="shared" ref="AI276:AI278" si="489">SUM(AG276:AH276)</f>
        <v>13040520</v>
      </c>
      <c r="AJ276" s="218">
        <f>SUM(AJ277:AJ279)</f>
        <v>0</v>
      </c>
      <c r="AK276" s="218">
        <f>SUM(AK277:AK279)</f>
        <v>0</v>
      </c>
      <c r="AL276" s="218"/>
      <c r="AM276" s="197">
        <f t="shared" ref="AM276:AM278" si="490">AJ276+AK276</f>
        <v>0</v>
      </c>
      <c r="AN276" s="218">
        <f>SUM(AN277:AN279)</f>
        <v>17387360</v>
      </c>
      <c r="AO276" s="218">
        <f>SUM(AO277:AO279)</f>
        <v>0</v>
      </c>
      <c r="AP276" s="218">
        <f>SUM(AN276:AO276)</f>
        <v>17387360</v>
      </c>
      <c r="AQ276" s="292">
        <f t="shared" ref="AQ276:AQ278" si="491">SUM(AP276+AM276+AI276)-AF276</f>
        <v>0</v>
      </c>
      <c r="AR276" s="48"/>
    </row>
    <row r="277" spans="2:44" s="4" customFormat="1" ht="49.9" customHeight="1">
      <c r="B277" s="35" t="s">
        <v>698</v>
      </c>
      <c r="C277" s="353" t="s">
        <v>701</v>
      </c>
      <c r="D277" s="92"/>
      <c r="E277" s="39" t="s">
        <v>370</v>
      </c>
      <c r="F277" s="39"/>
      <c r="G277" s="71">
        <v>2024</v>
      </c>
      <c r="H277" s="71">
        <v>2030</v>
      </c>
      <c r="I277" s="179">
        <v>1086710</v>
      </c>
      <c r="J277" s="179">
        <v>0</v>
      </c>
      <c r="K277" s="280">
        <f t="shared" si="484"/>
        <v>1086710</v>
      </c>
      <c r="L277" s="179">
        <v>1086710</v>
      </c>
      <c r="M277" s="179">
        <v>0</v>
      </c>
      <c r="N277" s="280">
        <f t="shared" si="485"/>
        <v>1086710</v>
      </c>
      <c r="O277" s="179">
        <v>1086710</v>
      </c>
      <c r="P277" s="179">
        <v>0</v>
      </c>
      <c r="Q277" s="280">
        <f t="shared" si="486"/>
        <v>1086710</v>
      </c>
      <c r="R277" s="179">
        <v>1086710</v>
      </c>
      <c r="S277" s="179">
        <v>0</v>
      </c>
      <c r="T277" s="280">
        <f t="shared" si="487"/>
        <v>1086710</v>
      </c>
      <c r="U277" s="179">
        <v>1086710</v>
      </c>
      <c r="V277" s="179">
        <v>0</v>
      </c>
      <c r="W277" s="280">
        <f t="shared" si="488"/>
        <v>1086710</v>
      </c>
      <c r="X277" s="179">
        <v>1086710</v>
      </c>
      <c r="Y277" s="179">
        <v>0</v>
      </c>
      <c r="Z277" s="280">
        <f t="shared" ref="Z277:Z279" si="492">SUM(X277:Y277)</f>
        <v>1086710</v>
      </c>
      <c r="AA277" s="179">
        <v>1086710</v>
      </c>
      <c r="AB277" s="179">
        <v>0</v>
      </c>
      <c r="AC277" s="280">
        <f t="shared" ref="AC277:AC279" si="493">SUM(AA277:AB277)</f>
        <v>1086710</v>
      </c>
      <c r="AD277" s="106">
        <f t="shared" si="472"/>
        <v>7606970</v>
      </c>
      <c r="AE277" s="106">
        <f t="shared" si="432"/>
        <v>0</v>
      </c>
      <c r="AF277" s="280">
        <f t="shared" ref="AF277:AF278" si="494">SUM(AD277:AE277)</f>
        <v>7606970</v>
      </c>
      <c r="AG277" s="179">
        <f>1086710*3</f>
        <v>3260130</v>
      </c>
      <c r="AH277" s="179">
        <v>0</v>
      </c>
      <c r="AI277" s="280">
        <f t="shared" si="489"/>
        <v>3260130</v>
      </c>
      <c r="AJ277" s="179">
        <v>0</v>
      </c>
      <c r="AK277" s="179">
        <v>0</v>
      </c>
      <c r="AL277" s="179"/>
      <c r="AM277" s="264">
        <f t="shared" si="490"/>
        <v>0</v>
      </c>
      <c r="AN277" s="179">
        <f>1086710*4</f>
        <v>4346840</v>
      </c>
      <c r="AO277" s="179">
        <v>0</v>
      </c>
      <c r="AP277" s="280">
        <f t="shared" ref="AP277:AP278" si="495">SUM(AN277:AO277)</f>
        <v>4346840</v>
      </c>
      <c r="AQ277" s="283">
        <f t="shared" si="491"/>
        <v>0</v>
      </c>
      <c r="AR277" s="48"/>
    </row>
    <row r="278" spans="2:44" s="4" customFormat="1" ht="48" customHeight="1">
      <c r="B278" s="35" t="s">
        <v>699</v>
      </c>
      <c r="C278" s="353" t="s">
        <v>702</v>
      </c>
      <c r="D278" s="92"/>
      <c r="E278" s="39" t="s">
        <v>370</v>
      </c>
      <c r="F278" s="39"/>
      <c r="G278" s="71">
        <v>2024</v>
      </c>
      <c r="H278" s="71">
        <v>2030</v>
      </c>
      <c r="I278" s="179">
        <v>2173420</v>
      </c>
      <c r="J278" s="179">
        <v>0</v>
      </c>
      <c r="K278" s="280">
        <f t="shared" si="484"/>
        <v>2173420</v>
      </c>
      <c r="L278" s="179">
        <v>2173420</v>
      </c>
      <c r="M278" s="179">
        <v>0</v>
      </c>
      <c r="N278" s="280">
        <f t="shared" si="485"/>
        <v>2173420</v>
      </c>
      <c r="O278" s="179">
        <v>2173420</v>
      </c>
      <c r="P278" s="179">
        <v>0</v>
      </c>
      <c r="Q278" s="280">
        <f t="shared" si="486"/>
        <v>2173420</v>
      </c>
      <c r="R278" s="179">
        <v>2173420</v>
      </c>
      <c r="S278" s="179">
        <v>0</v>
      </c>
      <c r="T278" s="280">
        <f t="shared" si="487"/>
        <v>2173420</v>
      </c>
      <c r="U278" s="179">
        <v>2173420</v>
      </c>
      <c r="V278" s="179">
        <v>0</v>
      </c>
      <c r="W278" s="280">
        <f t="shared" si="488"/>
        <v>2173420</v>
      </c>
      <c r="X278" s="179">
        <v>2173420</v>
      </c>
      <c r="Y278" s="179">
        <v>0</v>
      </c>
      <c r="Z278" s="280">
        <f t="shared" si="492"/>
        <v>2173420</v>
      </c>
      <c r="AA278" s="179">
        <v>2173420</v>
      </c>
      <c r="AB278" s="179">
        <v>0</v>
      </c>
      <c r="AC278" s="280">
        <f t="shared" si="493"/>
        <v>2173420</v>
      </c>
      <c r="AD278" s="106">
        <f t="shared" si="472"/>
        <v>15213940</v>
      </c>
      <c r="AE278" s="106">
        <f t="shared" si="432"/>
        <v>0</v>
      </c>
      <c r="AF278" s="280">
        <f t="shared" si="494"/>
        <v>15213940</v>
      </c>
      <c r="AG278" s="179">
        <f>2173420*3</f>
        <v>6520260</v>
      </c>
      <c r="AH278" s="179">
        <v>0</v>
      </c>
      <c r="AI278" s="280">
        <f t="shared" si="489"/>
        <v>6520260</v>
      </c>
      <c r="AJ278" s="179">
        <v>0</v>
      </c>
      <c r="AK278" s="179">
        <v>0</v>
      </c>
      <c r="AL278" s="179"/>
      <c r="AM278" s="264">
        <f t="shared" si="490"/>
        <v>0</v>
      </c>
      <c r="AN278" s="179">
        <f>2173420*4</f>
        <v>8693680</v>
      </c>
      <c r="AO278" s="179">
        <v>0</v>
      </c>
      <c r="AP278" s="280">
        <f t="shared" si="495"/>
        <v>8693680</v>
      </c>
      <c r="AQ278" s="283">
        <f t="shared" si="491"/>
        <v>0</v>
      </c>
      <c r="AR278" s="48"/>
    </row>
    <row r="279" spans="2:44" s="4" customFormat="1" ht="54" customHeight="1">
      <c r="B279" s="35" t="s">
        <v>700</v>
      </c>
      <c r="C279" s="353" t="s">
        <v>703</v>
      </c>
      <c r="D279" s="92"/>
      <c r="E279" s="39" t="s">
        <v>370</v>
      </c>
      <c r="F279" s="39"/>
      <c r="G279" s="71">
        <v>2024</v>
      </c>
      <c r="H279" s="71">
        <v>2030</v>
      </c>
      <c r="I279" s="7">
        <v>1086710</v>
      </c>
      <c r="J279" s="7">
        <v>0</v>
      </c>
      <c r="K279" s="280">
        <f t="shared" si="438"/>
        <v>1086710</v>
      </c>
      <c r="L279" s="7">
        <v>1086710</v>
      </c>
      <c r="M279" s="7">
        <v>0</v>
      </c>
      <c r="N279" s="280">
        <f t="shared" si="439"/>
        <v>1086710</v>
      </c>
      <c r="O279" s="7">
        <v>1086710</v>
      </c>
      <c r="P279" s="7">
        <v>0</v>
      </c>
      <c r="Q279" s="280">
        <f t="shared" si="440"/>
        <v>1086710</v>
      </c>
      <c r="R279" s="7">
        <v>1086710</v>
      </c>
      <c r="S279" s="7">
        <v>0</v>
      </c>
      <c r="T279" s="280">
        <f t="shared" si="441"/>
        <v>1086710</v>
      </c>
      <c r="U279" s="7">
        <v>1086710</v>
      </c>
      <c r="V279" s="7">
        <v>0</v>
      </c>
      <c r="W279" s="280">
        <f t="shared" si="429"/>
        <v>1086710</v>
      </c>
      <c r="X279" s="7">
        <v>1086710</v>
      </c>
      <c r="Y279" s="7">
        <v>0</v>
      </c>
      <c r="Z279" s="280">
        <f t="shared" si="492"/>
        <v>1086710</v>
      </c>
      <c r="AA279" s="7">
        <v>1086710</v>
      </c>
      <c r="AB279" s="7">
        <v>0</v>
      </c>
      <c r="AC279" s="280">
        <f t="shared" si="493"/>
        <v>1086710</v>
      </c>
      <c r="AD279" s="106">
        <f t="shared" si="472"/>
        <v>7606970</v>
      </c>
      <c r="AE279" s="106">
        <f t="shared" si="432"/>
        <v>0</v>
      </c>
      <c r="AF279" s="280">
        <f t="shared" si="437"/>
        <v>7606970</v>
      </c>
      <c r="AG279" s="179">
        <f>1086710*3</f>
        <v>3260130</v>
      </c>
      <c r="AH279" s="7">
        <v>0</v>
      </c>
      <c r="AI279" s="280">
        <f t="shared" si="442"/>
        <v>3260130</v>
      </c>
      <c r="AJ279" s="7">
        <v>0</v>
      </c>
      <c r="AK279" s="7">
        <v>0</v>
      </c>
      <c r="AL279" s="179"/>
      <c r="AM279" s="264">
        <f t="shared" si="434"/>
        <v>0</v>
      </c>
      <c r="AN279" s="179">
        <f>1086710*4</f>
        <v>4346840</v>
      </c>
      <c r="AO279" s="7">
        <v>0</v>
      </c>
      <c r="AP279" s="280">
        <f t="shared" si="452"/>
        <v>4346840</v>
      </c>
      <c r="AQ279" s="283">
        <f t="shared" si="453"/>
        <v>0</v>
      </c>
      <c r="AR279" s="48"/>
    </row>
    <row r="280" spans="2:44" s="4" customFormat="1" ht="30" customHeight="1" thickBot="1">
      <c r="B280" s="150"/>
      <c r="C280" s="151" t="s">
        <v>697</v>
      </c>
      <c r="D280" s="107"/>
      <c r="E280" s="85"/>
      <c r="F280" s="85"/>
      <c r="G280" s="85"/>
      <c r="H280" s="85"/>
      <c r="I280" s="178">
        <f>SUM(I254,I258,I266,I270,I276)</f>
        <v>23040780</v>
      </c>
      <c r="J280" s="178">
        <f t="shared" ref="J280:AK280" si="496">SUM(J254,J258,J266,J270,J276)</f>
        <v>0</v>
      </c>
      <c r="K280" s="178">
        <f t="shared" si="496"/>
        <v>23040780</v>
      </c>
      <c r="L280" s="178">
        <f t="shared" si="496"/>
        <v>24840780</v>
      </c>
      <c r="M280" s="178">
        <f t="shared" si="496"/>
        <v>0</v>
      </c>
      <c r="N280" s="178">
        <f t="shared" si="496"/>
        <v>24840780</v>
      </c>
      <c r="O280" s="178">
        <f t="shared" si="496"/>
        <v>21580650</v>
      </c>
      <c r="P280" s="178">
        <f t="shared" si="496"/>
        <v>0</v>
      </c>
      <c r="Q280" s="178">
        <f t="shared" si="496"/>
        <v>21580650</v>
      </c>
      <c r="R280" s="178">
        <f t="shared" si="496"/>
        <v>22667360</v>
      </c>
      <c r="S280" s="178">
        <f t="shared" si="496"/>
        <v>0</v>
      </c>
      <c r="T280" s="178">
        <f t="shared" si="496"/>
        <v>22667360</v>
      </c>
      <c r="U280" s="178">
        <f t="shared" si="496"/>
        <v>22667360</v>
      </c>
      <c r="V280" s="178">
        <f t="shared" si="496"/>
        <v>0</v>
      </c>
      <c r="W280" s="178">
        <f t="shared" si="496"/>
        <v>22667360</v>
      </c>
      <c r="X280" s="178">
        <f t="shared" si="496"/>
        <v>22667360</v>
      </c>
      <c r="Y280" s="178">
        <f t="shared" si="496"/>
        <v>0</v>
      </c>
      <c r="Z280" s="178">
        <f t="shared" si="496"/>
        <v>22667360</v>
      </c>
      <c r="AA280" s="178">
        <f t="shared" si="496"/>
        <v>22667360</v>
      </c>
      <c r="AB280" s="178">
        <f t="shared" si="496"/>
        <v>0</v>
      </c>
      <c r="AC280" s="178">
        <f t="shared" si="496"/>
        <v>22667360</v>
      </c>
      <c r="AD280" s="178">
        <f t="shared" si="496"/>
        <v>160131650</v>
      </c>
      <c r="AE280" s="178">
        <f t="shared" si="496"/>
        <v>0</v>
      </c>
      <c r="AF280" s="178">
        <f t="shared" si="496"/>
        <v>160131650</v>
      </c>
      <c r="AG280" s="178">
        <f t="shared" si="496"/>
        <v>69462210</v>
      </c>
      <c r="AH280" s="178">
        <f t="shared" si="496"/>
        <v>0</v>
      </c>
      <c r="AI280" s="178">
        <f t="shared" si="496"/>
        <v>69462210</v>
      </c>
      <c r="AJ280" s="178">
        <f t="shared" si="496"/>
        <v>0</v>
      </c>
      <c r="AK280" s="178">
        <f t="shared" si="496"/>
        <v>0</v>
      </c>
      <c r="AL280" s="178"/>
      <c r="AM280" s="178">
        <f t="shared" ref="AM280:AP280" si="497">SUM(AM254,AM258,AM266,AM270,AM276)</f>
        <v>0</v>
      </c>
      <c r="AN280" s="178">
        <f t="shared" si="497"/>
        <v>90669440</v>
      </c>
      <c r="AO280" s="178">
        <f t="shared" si="497"/>
        <v>0</v>
      </c>
      <c r="AP280" s="178">
        <f t="shared" si="497"/>
        <v>90669440</v>
      </c>
      <c r="AQ280" s="528">
        <f t="shared" ref="AQ280" si="498">SUM(AP280+AM280+AI280)-AF280</f>
        <v>0</v>
      </c>
      <c r="AR280" s="48"/>
    </row>
    <row r="281" spans="2:44" s="4" customFormat="1" ht="31.9" customHeight="1" thickBot="1">
      <c r="B281" s="78"/>
      <c r="C281" s="855" t="s">
        <v>705</v>
      </c>
      <c r="D281" s="856"/>
      <c r="E281" s="81"/>
      <c r="F281" s="81"/>
      <c r="G281" s="81"/>
      <c r="H281" s="81"/>
      <c r="I281" s="82">
        <f>SUM(I198,I215,I231,I251,I280)</f>
        <v>65775760</v>
      </c>
      <c r="J281" s="82">
        <f t="shared" ref="J281:AK281" si="499">SUM(J198,J215,J231,J251,J280)</f>
        <v>0</v>
      </c>
      <c r="K281" s="82">
        <f t="shared" si="499"/>
        <v>65775760</v>
      </c>
      <c r="L281" s="82">
        <f t="shared" si="499"/>
        <v>78402600</v>
      </c>
      <c r="M281" s="82">
        <f t="shared" si="499"/>
        <v>0</v>
      </c>
      <c r="N281" s="82">
        <f t="shared" si="499"/>
        <v>78402600</v>
      </c>
      <c r="O281" s="82">
        <f t="shared" si="499"/>
        <v>72262470</v>
      </c>
      <c r="P281" s="82">
        <f t="shared" si="499"/>
        <v>0</v>
      </c>
      <c r="Q281" s="82">
        <f t="shared" si="499"/>
        <v>72262470</v>
      </c>
      <c r="R281" s="82">
        <f t="shared" si="499"/>
        <v>56708660</v>
      </c>
      <c r="S281" s="82">
        <f t="shared" si="499"/>
        <v>0</v>
      </c>
      <c r="T281" s="82">
        <f t="shared" si="499"/>
        <v>63367240</v>
      </c>
      <c r="U281" s="82">
        <f t="shared" si="499"/>
        <v>59968790</v>
      </c>
      <c r="V281" s="82">
        <f t="shared" si="499"/>
        <v>0</v>
      </c>
      <c r="W281" s="82">
        <f t="shared" si="499"/>
        <v>59968790</v>
      </c>
      <c r="X281" s="82">
        <f t="shared" si="499"/>
        <v>56708660</v>
      </c>
      <c r="Y281" s="82">
        <f t="shared" si="499"/>
        <v>0</v>
      </c>
      <c r="Z281" s="82">
        <f t="shared" si="499"/>
        <v>56708660</v>
      </c>
      <c r="AA281" s="82">
        <f t="shared" si="499"/>
        <v>59968790</v>
      </c>
      <c r="AB281" s="82">
        <f t="shared" si="499"/>
        <v>0</v>
      </c>
      <c r="AC281" s="82">
        <f t="shared" si="499"/>
        <v>59968790</v>
      </c>
      <c r="AD281" s="82">
        <f t="shared" si="499"/>
        <v>449795730</v>
      </c>
      <c r="AE281" s="82">
        <f t="shared" si="499"/>
        <v>0</v>
      </c>
      <c r="AF281" s="82">
        <f t="shared" si="499"/>
        <v>449795730</v>
      </c>
      <c r="AG281" s="82">
        <f t="shared" si="499"/>
        <v>216440830</v>
      </c>
      <c r="AH281" s="82">
        <f t="shared" si="499"/>
        <v>0</v>
      </c>
      <c r="AI281" s="82">
        <f t="shared" si="499"/>
        <v>216440830</v>
      </c>
      <c r="AJ281" s="86">
        <f t="shared" si="499"/>
        <v>0</v>
      </c>
      <c r="AK281" s="86">
        <f t="shared" si="499"/>
        <v>0</v>
      </c>
      <c r="AL281" s="86"/>
      <c r="AM281" s="86">
        <f t="shared" ref="AM281:AQ281" si="500">SUM(AM198,AM215,AM231,AM251,AM280)</f>
        <v>0</v>
      </c>
      <c r="AN281" s="82">
        <f t="shared" si="500"/>
        <v>196406760</v>
      </c>
      <c r="AO281" s="82">
        <f t="shared" si="500"/>
        <v>0</v>
      </c>
      <c r="AP281" s="82">
        <f t="shared" si="500"/>
        <v>233354900</v>
      </c>
      <c r="AQ281" s="239">
        <f t="shared" si="500"/>
        <v>0</v>
      </c>
      <c r="AR281" s="49">
        <f>AQ281/AF281</f>
        <v>0</v>
      </c>
    </row>
    <row r="282" spans="2:44" s="4" customFormat="1" ht="31.9" customHeight="1" thickBot="1">
      <c r="B282" s="848" t="s">
        <v>706</v>
      </c>
      <c r="C282" s="878"/>
      <c r="D282" s="878"/>
      <c r="E282" s="878"/>
      <c r="F282" s="878"/>
      <c r="G282" s="878"/>
      <c r="H282" s="878"/>
      <c r="I282" s="878"/>
      <c r="J282" s="878"/>
      <c r="K282" s="878"/>
      <c r="L282" s="878"/>
      <c r="M282" s="878"/>
      <c r="N282" s="878"/>
      <c r="O282" s="878"/>
      <c r="P282" s="878"/>
      <c r="Q282" s="878"/>
      <c r="R282" s="878"/>
      <c r="S282" s="878"/>
      <c r="T282" s="878"/>
      <c r="U282" s="878"/>
      <c r="V282" s="878"/>
      <c r="W282" s="878"/>
      <c r="X282" s="878"/>
      <c r="Y282" s="878"/>
      <c r="Z282" s="878"/>
      <c r="AA282" s="878"/>
      <c r="AB282" s="878"/>
      <c r="AC282" s="878"/>
      <c r="AD282" s="878"/>
      <c r="AE282" s="878"/>
      <c r="AF282" s="878"/>
      <c r="AG282" s="878"/>
      <c r="AH282" s="878"/>
      <c r="AI282" s="878"/>
      <c r="AJ282" s="878"/>
      <c r="AK282" s="878"/>
      <c r="AL282" s="878"/>
      <c r="AM282" s="878"/>
      <c r="AN282" s="878"/>
      <c r="AO282" s="878"/>
      <c r="AP282" s="878"/>
      <c r="AQ282" s="879"/>
      <c r="AR282" s="50"/>
    </row>
    <row r="283" spans="2:44" ht="31.9" customHeight="1" thickBot="1">
      <c r="B283" s="866" t="s">
        <v>250</v>
      </c>
      <c r="C283" s="867"/>
      <c r="D283" s="867"/>
      <c r="E283" s="867"/>
      <c r="F283" s="867"/>
      <c r="G283" s="867"/>
      <c r="H283" s="867"/>
      <c r="I283" s="867"/>
      <c r="J283" s="867"/>
      <c r="K283" s="867"/>
      <c r="L283" s="867"/>
      <c r="M283" s="867"/>
      <c r="N283" s="867"/>
      <c r="O283" s="867"/>
      <c r="P283" s="867"/>
      <c r="Q283" s="867"/>
      <c r="R283" s="867"/>
      <c r="S283" s="867"/>
      <c r="T283" s="867"/>
      <c r="U283" s="867"/>
      <c r="V283" s="867"/>
      <c r="W283" s="867"/>
      <c r="X283" s="867"/>
      <c r="Y283" s="867"/>
      <c r="Z283" s="867"/>
      <c r="AA283" s="867"/>
      <c r="AB283" s="867"/>
      <c r="AC283" s="867"/>
      <c r="AD283" s="867"/>
      <c r="AE283" s="867"/>
      <c r="AF283" s="867"/>
      <c r="AG283" s="867"/>
      <c r="AH283" s="867"/>
      <c r="AI283" s="867"/>
      <c r="AJ283" s="867"/>
      <c r="AK283" s="867"/>
      <c r="AL283" s="867"/>
      <c r="AM283" s="867"/>
      <c r="AN283" s="867"/>
      <c r="AO283" s="867"/>
      <c r="AP283" s="867"/>
      <c r="AQ283" s="868"/>
      <c r="AR283" s="47"/>
    </row>
    <row r="284" spans="2:44" s="4" customFormat="1" ht="31.9" customHeight="1">
      <c r="B284" s="822" t="s">
        <v>0</v>
      </c>
      <c r="C284" s="836" t="s">
        <v>51</v>
      </c>
      <c r="D284" s="836" t="s">
        <v>1</v>
      </c>
      <c r="E284" s="836" t="s">
        <v>86</v>
      </c>
      <c r="F284" s="836"/>
      <c r="G284" s="836" t="s">
        <v>54</v>
      </c>
      <c r="H284" s="836"/>
      <c r="I284" s="817" t="s">
        <v>57</v>
      </c>
      <c r="J284" s="817"/>
      <c r="K284" s="817"/>
      <c r="L284" s="817" t="s">
        <v>58</v>
      </c>
      <c r="M284" s="817"/>
      <c r="N284" s="817"/>
      <c r="O284" s="817" t="s">
        <v>93</v>
      </c>
      <c r="P284" s="826"/>
      <c r="Q284" s="826"/>
      <c r="R284" s="825" t="s">
        <v>183</v>
      </c>
      <c r="S284" s="825"/>
      <c r="T284" s="825"/>
      <c r="U284" s="825" t="s">
        <v>182</v>
      </c>
      <c r="V284" s="825"/>
      <c r="W284" s="825"/>
      <c r="X284" s="825" t="s">
        <v>181</v>
      </c>
      <c r="Y284" s="825"/>
      <c r="Z284" s="825"/>
      <c r="AA284" s="825" t="s">
        <v>180</v>
      </c>
      <c r="AB284" s="825"/>
      <c r="AC284" s="825"/>
      <c r="AD284" s="825" t="s">
        <v>59</v>
      </c>
      <c r="AE284" s="826"/>
      <c r="AF284" s="826"/>
      <c r="AG284" s="817" t="s">
        <v>60</v>
      </c>
      <c r="AH284" s="817"/>
      <c r="AI284" s="817"/>
      <c r="AJ284" s="817"/>
      <c r="AK284" s="817"/>
      <c r="AL284" s="817"/>
      <c r="AM284" s="817"/>
      <c r="AN284" s="817" t="s">
        <v>65</v>
      </c>
      <c r="AO284" s="818"/>
      <c r="AP284" s="818"/>
      <c r="AQ284" s="843" t="s">
        <v>66</v>
      </c>
      <c r="AR284" s="48"/>
    </row>
    <row r="285" spans="2:44" s="4" customFormat="1" ht="31.9" customHeight="1">
      <c r="B285" s="823"/>
      <c r="C285" s="837"/>
      <c r="D285" s="837"/>
      <c r="E285" s="830" t="s">
        <v>52</v>
      </c>
      <c r="F285" s="830" t="s">
        <v>53</v>
      </c>
      <c r="G285" s="833" t="s">
        <v>55</v>
      </c>
      <c r="H285" s="833" t="s">
        <v>55</v>
      </c>
      <c r="I285" s="821"/>
      <c r="J285" s="821"/>
      <c r="K285" s="821"/>
      <c r="L285" s="821"/>
      <c r="M285" s="821"/>
      <c r="N285" s="821"/>
      <c r="O285" s="827"/>
      <c r="P285" s="827"/>
      <c r="Q285" s="827"/>
      <c r="R285" s="847"/>
      <c r="S285" s="847"/>
      <c r="T285" s="847"/>
      <c r="U285" s="847"/>
      <c r="V285" s="847"/>
      <c r="W285" s="847"/>
      <c r="X285" s="847"/>
      <c r="Y285" s="847"/>
      <c r="Z285" s="847"/>
      <c r="AA285" s="847"/>
      <c r="AB285" s="847"/>
      <c r="AC285" s="847"/>
      <c r="AD285" s="827"/>
      <c r="AE285" s="827"/>
      <c r="AF285" s="827"/>
      <c r="AG285" s="821" t="s">
        <v>184</v>
      </c>
      <c r="AH285" s="854"/>
      <c r="AI285" s="854"/>
      <c r="AJ285" s="821" t="s">
        <v>62</v>
      </c>
      <c r="AK285" s="853"/>
      <c r="AL285" s="853"/>
      <c r="AM285" s="853"/>
      <c r="AN285" s="819" t="s">
        <v>185</v>
      </c>
      <c r="AO285" s="819"/>
      <c r="AP285" s="819"/>
      <c r="AQ285" s="844"/>
      <c r="AR285" s="48"/>
    </row>
    <row r="286" spans="2:44" s="4" customFormat="1" ht="31.9" customHeight="1" thickBot="1">
      <c r="B286" s="824"/>
      <c r="C286" s="839"/>
      <c r="D286" s="839"/>
      <c r="E286" s="832"/>
      <c r="F286" s="832"/>
      <c r="G286" s="835"/>
      <c r="H286" s="835"/>
      <c r="I286" s="53" t="s">
        <v>32</v>
      </c>
      <c r="J286" s="53" t="s">
        <v>33</v>
      </c>
      <c r="K286" s="53" t="s">
        <v>67</v>
      </c>
      <c r="L286" s="53" t="s">
        <v>32</v>
      </c>
      <c r="M286" s="53" t="s">
        <v>33</v>
      </c>
      <c r="N286" s="53" t="s">
        <v>67</v>
      </c>
      <c r="O286" s="53" t="s">
        <v>32</v>
      </c>
      <c r="P286" s="53" t="s">
        <v>33</v>
      </c>
      <c r="Q286" s="53" t="s">
        <v>67</v>
      </c>
      <c r="R286" s="53" t="s">
        <v>32</v>
      </c>
      <c r="S286" s="53" t="s">
        <v>33</v>
      </c>
      <c r="T286" s="53" t="s">
        <v>67</v>
      </c>
      <c r="U286" s="53" t="s">
        <v>32</v>
      </c>
      <c r="V286" s="53" t="s">
        <v>33</v>
      </c>
      <c r="W286" s="53" t="s">
        <v>67</v>
      </c>
      <c r="X286" s="53" t="s">
        <v>32</v>
      </c>
      <c r="Y286" s="53" t="s">
        <v>33</v>
      </c>
      <c r="Z286" s="53" t="s">
        <v>67</v>
      </c>
      <c r="AA286" s="53" t="s">
        <v>32</v>
      </c>
      <c r="AB286" s="53" t="s">
        <v>33</v>
      </c>
      <c r="AC286" s="53" t="s">
        <v>67</v>
      </c>
      <c r="AD286" s="53" t="s">
        <v>32</v>
      </c>
      <c r="AE286" s="53" t="s">
        <v>33</v>
      </c>
      <c r="AF286" s="53" t="s">
        <v>67</v>
      </c>
      <c r="AG286" s="53" t="s">
        <v>32</v>
      </c>
      <c r="AH286" s="53" t="s">
        <v>33</v>
      </c>
      <c r="AI286" s="53" t="s">
        <v>61</v>
      </c>
      <c r="AJ286" s="53" t="s">
        <v>32</v>
      </c>
      <c r="AK286" s="53" t="s">
        <v>33</v>
      </c>
      <c r="AL286" s="53" t="s">
        <v>63</v>
      </c>
      <c r="AM286" s="53" t="s">
        <v>64</v>
      </c>
      <c r="AN286" s="53" t="s">
        <v>32</v>
      </c>
      <c r="AO286" s="53" t="s">
        <v>33</v>
      </c>
      <c r="AP286" s="53" t="s">
        <v>67</v>
      </c>
      <c r="AQ286" s="54"/>
      <c r="AR286" s="48"/>
    </row>
    <row r="287" spans="2:44" s="4" customFormat="1" ht="46.15" customHeight="1">
      <c r="B287" s="55">
        <v>3.1</v>
      </c>
      <c r="C287" s="845" t="s">
        <v>707</v>
      </c>
      <c r="D287" s="846"/>
      <c r="E287" s="109"/>
      <c r="F287" s="109"/>
      <c r="G287" s="109"/>
      <c r="H287" s="109"/>
      <c r="I287" s="110"/>
      <c r="J287" s="110"/>
      <c r="K287" s="110"/>
      <c r="L287" s="110"/>
      <c r="M287" s="110"/>
      <c r="N287" s="110"/>
      <c r="O287" s="110"/>
      <c r="P287" s="110"/>
      <c r="Q287" s="110"/>
      <c r="R287" s="110"/>
      <c r="S287" s="110"/>
      <c r="T287" s="110"/>
      <c r="U287" s="110"/>
      <c r="V287" s="110"/>
      <c r="W287" s="110"/>
      <c r="X287" s="110"/>
      <c r="Y287" s="110"/>
      <c r="Z287" s="110"/>
      <c r="AA287" s="110"/>
      <c r="AB287" s="110"/>
      <c r="AC287" s="110"/>
      <c r="AD287" s="110"/>
      <c r="AE287" s="110"/>
      <c r="AF287" s="110"/>
      <c r="AG287" s="110"/>
      <c r="AH287" s="110"/>
      <c r="AI287" s="110"/>
      <c r="AJ287" s="110"/>
      <c r="AK287" s="110"/>
      <c r="AL287" s="110"/>
      <c r="AM287" s="110"/>
      <c r="AN287" s="110"/>
      <c r="AO287" s="110"/>
      <c r="AP287" s="110"/>
      <c r="AQ287" s="111"/>
      <c r="AR287" s="48"/>
    </row>
    <row r="288" spans="2:44" ht="31.9" customHeight="1">
      <c r="B288" s="61"/>
      <c r="C288" s="62" t="s">
        <v>68</v>
      </c>
      <c r="D288" s="92"/>
      <c r="E288" s="93"/>
      <c r="F288" s="93"/>
      <c r="G288" s="93"/>
      <c r="H288" s="93"/>
      <c r="I288" s="83"/>
      <c r="J288" s="83"/>
      <c r="K288" s="83"/>
      <c r="L288" s="83"/>
      <c r="M288" s="83"/>
      <c r="N288" s="83"/>
      <c r="O288" s="83"/>
      <c r="P288" s="83"/>
      <c r="Q288" s="83"/>
      <c r="R288" s="83"/>
      <c r="S288" s="83"/>
      <c r="T288" s="83"/>
      <c r="U288" s="83"/>
      <c r="V288" s="83"/>
      <c r="W288" s="83"/>
      <c r="X288" s="83"/>
      <c r="Y288" s="83"/>
      <c r="Z288" s="83"/>
      <c r="AA288" s="83"/>
      <c r="AB288" s="83"/>
      <c r="AC288" s="83"/>
      <c r="AD288" s="83"/>
      <c r="AE288" s="83"/>
      <c r="AF288" s="83"/>
      <c r="AG288" s="83"/>
      <c r="AH288" s="83"/>
      <c r="AI288" s="83"/>
      <c r="AJ288" s="83"/>
      <c r="AK288" s="83"/>
      <c r="AL288" s="83"/>
      <c r="AM288" s="83"/>
      <c r="AN288" s="83"/>
      <c r="AO288" s="83"/>
      <c r="AP288" s="83"/>
      <c r="AQ288" s="112"/>
      <c r="AR288" s="47"/>
    </row>
    <row r="289" spans="2:44" s="46" customFormat="1" ht="78" customHeight="1" thickBot="1">
      <c r="B289" s="219" t="s">
        <v>8</v>
      </c>
      <c r="C289" s="258" t="s">
        <v>708</v>
      </c>
      <c r="D289" s="215"/>
      <c r="E289" s="192" t="s">
        <v>416</v>
      </c>
      <c r="F289" s="192" t="s">
        <v>597</v>
      </c>
      <c r="G289" s="185">
        <v>2024</v>
      </c>
      <c r="H289" s="185">
        <v>2030</v>
      </c>
      <c r="I289" s="220">
        <f>SUM(I290:I293)</f>
        <v>7606970</v>
      </c>
      <c r="J289" s="220">
        <f>SUM(J290:J293)</f>
        <v>0</v>
      </c>
      <c r="K289" s="220">
        <f>I289+J289</f>
        <v>7606970</v>
      </c>
      <c r="L289" s="220">
        <f>SUM(L290:L293)</f>
        <v>5433550</v>
      </c>
      <c r="M289" s="220">
        <f>SUM(M290:M293)</f>
        <v>0</v>
      </c>
      <c r="N289" s="220">
        <f>L289+M289</f>
        <v>5433550</v>
      </c>
      <c r="O289" s="220">
        <f>SUM(O290:O293)</f>
        <v>2173420</v>
      </c>
      <c r="P289" s="220">
        <f>SUM(P290:P293)</f>
        <v>0</v>
      </c>
      <c r="Q289" s="220">
        <f>O289+P289</f>
        <v>2173420</v>
      </c>
      <c r="R289" s="220">
        <f>SUM(R290:R293)</f>
        <v>2173420</v>
      </c>
      <c r="S289" s="220">
        <f>SUM(S290:S293)</f>
        <v>0</v>
      </c>
      <c r="T289" s="220">
        <f>R289+S289</f>
        <v>2173420</v>
      </c>
      <c r="U289" s="220">
        <f>SUM(U290:U293)</f>
        <v>2173420</v>
      </c>
      <c r="V289" s="220">
        <f>SUM(V290:V293)</f>
        <v>0</v>
      </c>
      <c r="W289" s="220">
        <f>U289+V289</f>
        <v>2173420</v>
      </c>
      <c r="X289" s="220">
        <f>SUM(X290:X293)</f>
        <v>2173420</v>
      </c>
      <c r="Y289" s="220">
        <f>SUM(Y290:Y293)</f>
        <v>0</v>
      </c>
      <c r="Z289" s="220">
        <f>SUM(X289:Y289)</f>
        <v>2173420</v>
      </c>
      <c r="AA289" s="220">
        <f>SUM(AA290:AA293)</f>
        <v>2173420</v>
      </c>
      <c r="AB289" s="220">
        <f>SUM(AB290:AB293)</f>
        <v>0</v>
      </c>
      <c r="AC289" s="220">
        <f>SUM(AA289:AB289)</f>
        <v>2173420</v>
      </c>
      <c r="AD289" s="220">
        <f t="shared" ref="AD289:AE293" si="501">I289+L289+O289+R289+U289+X289+AA289</f>
        <v>23907620</v>
      </c>
      <c r="AE289" s="220">
        <f t="shared" si="501"/>
        <v>0</v>
      </c>
      <c r="AF289" s="220">
        <f>AD289+AE289</f>
        <v>23907620</v>
      </c>
      <c r="AG289" s="220">
        <f>SUM(AG290:AG293)</f>
        <v>15213940</v>
      </c>
      <c r="AH289" s="220">
        <f>SUM(AH290:AH293)</f>
        <v>0</v>
      </c>
      <c r="AI289" s="220">
        <f>AG289+AH289</f>
        <v>15213940</v>
      </c>
      <c r="AJ289" s="220">
        <f>SUM(AJ290:AJ293)</f>
        <v>0</v>
      </c>
      <c r="AK289" s="220">
        <f>SUM(AK290:AK293)</f>
        <v>0</v>
      </c>
      <c r="AL289" s="220"/>
      <c r="AM289" s="220">
        <f>AJ289+AK289</f>
        <v>0</v>
      </c>
      <c r="AN289" s="220">
        <f>SUM(AN290:AN293)</f>
        <v>8693680</v>
      </c>
      <c r="AO289" s="220">
        <f>SUM(AO290:AO293)</f>
        <v>0</v>
      </c>
      <c r="AP289" s="220">
        <f>AN289+AO289</f>
        <v>8693680</v>
      </c>
      <c r="AQ289" s="193">
        <f t="shared" ref="AQ289" si="502">SUM(AP289+AM289+AI289)-AF289</f>
        <v>0</v>
      </c>
      <c r="AR289" s="41"/>
    </row>
    <row r="290" spans="2:44" s="46" customFormat="1" ht="92.25" customHeight="1">
      <c r="B290" s="113" t="s">
        <v>134</v>
      </c>
      <c r="C290" s="352" t="s">
        <v>709</v>
      </c>
      <c r="D290" s="114"/>
      <c r="E290" s="323" t="s">
        <v>416</v>
      </c>
      <c r="F290" s="386"/>
      <c r="G290" s="351">
        <v>2024</v>
      </c>
      <c r="H290" s="351">
        <v>2024</v>
      </c>
      <c r="I290" s="7">
        <f>1086710*4</f>
        <v>4346840</v>
      </c>
      <c r="J290" s="7">
        <v>0</v>
      </c>
      <c r="K290" s="293">
        <f>SUM(I290:J290)</f>
        <v>4346840</v>
      </c>
      <c r="L290" s="115">
        <v>0</v>
      </c>
      <c r="M290" s="116">
        <v>0</v>
      </c>
      <c r="N290" s="293">
        <f>SUM(L290:M290)</f>
        <v>0</v>
      </c>
      <c r="O290" s="115">
        <v>0</v>
      </c>
      <c r="P290" s="116">
        <v>0</v>
      </c>
      <c r="Q290" s="293">
        <f>SUM(O290:P290)</f>
        <v>0</v>
      </c>
      <c r="R290" s="115">
        <v>0</v>
      </c>
      <c r="S290" s="116">
        <v>0</v>
      </c>
      <c r="T290" s="293">
        <f>SUM(R290:S290)</f>
        <v>0</v>
      </c>
      <c r="U290" s="115">
        <v>0</v>
      </c>
      <c r="V290" s="116">
        <v>0</v>
      </c>
      <c r="W290" s="293">
        <f t="shared" ref="W290:W293" si="503">SUM(U290:V290)</f>
        <v>0</v>
      </c>
      <c r="X290" s="116">
        <v>0</v>
      </c>
      <c r="Y290" s="116">
        <v>0</v>
      </c>
      <c r="Z290" s="293">
        <f t="shared" ref="Z290:Z293" si="504">SUM(X290:Y290)</f>
        <v>0</v>
      </c>
      <c r="AA290" s="116">
        <v>0</v>
      </c>
      <c r="AB290" s="116">
        <v>0</v>
      </c>
      <c r="AC290" s="293">
        <f t="shared" ref="AC290:AC293" si="505">SUM(AA290:AB290)</f>
        <v>0</v>
      </c>
      <c r="AD290" s="115">
        <f>I290+L290+O290+R290+U290+X290+AA290</f>
        <v>4346840</v>
      </c>
      <c r="AE290" s="115">
        <f t="shared" si="501"/>
        <v>0</v>
      </c>
      <c r="AF290" s="293">
        <f t="shared" ref="AF290:AF293" si="506">AD290+AE290</f>
        <v>4346840</v>
      </c>
      <c r="AG290" s="115">
        <v>4346840</v>
      </c>
      <c r="AH290" s="116">
        <v>0</v>
      </c>
      <c r="AI290" s="293">
        <f>SUM(AG290:AH290)</f>
        <v>4346840</v>
      </c>
      <c r="AJ290" s="115">
        <v>0</v>
      </c>
      <c r="AK290" s="116">
        <v>0</v>
      </c>
      <c r="AL290" s="116"/>
      <c r="AM290" s="293">
        <f t="shared" ref="AM290:AM296" si="507">AJ290+AK290</f>
        <v>0</v>
      </c>
      <c r="AN290" s="115">
        <v>0</v>
      </c>
      <c r="AO290" s="116">
        <v>0</v>
      </c>
      <c r="AP290" s="293">
        <f>SUM(AN290:AO290)</f>
        <v>0</v>
      </c>
      <c r="AQ290" s="69">
        <f t="shared" ref="AQ290:AQ328" si="508">SUM(AP290+AM290+AI290)-AF290</f>
        <v>0</v>
      </c>
      <c r="AR290" s="41"/>
    </row>
    <row r="291" spans="2:44" s="46" customFormat="1" ht="43.15" customHeight="1">
      <c r="B291" s="113" t="s">
        <v>135</v>
      </c>
      <c r="C291" s="529" t="s">
        <v>710</v>
      </c>
      <c r="D291" s="114"/>
      <c r="E291" s="39" t="s">
        <v>416</v>
      </c>
      <c r="F291" s="388"/>
      <c r="G291" s="345">
        <v>2025</v>
      </c>
      <c r="H291" s="345">
        <v>2025</v>
      </c>
      <c r="I291" s="7">
        <v>0</v>
      </c>
      <c r="J291" s="7">
        <v>0</v>
      </c>
      <c r="K291" s="293">
        <f t="shared" ref="K291:K293" si="509">SUM(I291:J291)</f>
        <v>0</v>
      </c>
      <c r="L291" s="115">
        <v>3260130</v>
      </c>
      <c r="M291" s="116">
        <v>0</v>
      </c>
      <c r="N291" s="293">
        <f t="shared" ref="N291:N293" si="510">SUM(L291:M291)</f>
        <v>3260130</v>
      </c>
      <c r="O291" s="115">
        <v>0</v>
      </c>
      <c r="P291" s="116">
        <v>0</v>
      </c>
      <c r="Q291" s="293">
        <f t="shared" ref="Q291:Q293" si="511">SUM(O291:P291)</f>
        <v>0</v>
      </c>
      <c r="R291" s="115">
        <v>0</v>
      </c>
      <c r="S291" s="116">
        <v>0</v>
      </c>
      <c r="T291" s="293">
        <f t="shared" ref="T291:T293" si="512">SUM(R291:S291)</f>
        <v>0</v>
      </c>
      <c r="U291" s="115">
        <v>0</v>
      </c>
      <c r="V291" s="116">
        <v>0</v>
      </c>
      <c r="W291" s="293">
        <f t="shared" si="503"/>
        <v>0</v>
      </c>
      <c r="X291" s="116">
        <v>0</v>
      </c>
      <c r="Y291" s="116">
        <v>0</v>
      </c>
      <c r="Z291" s="293">
        <f t="shared" si="504"/>
        <v>0</v>
      </c>
      <c r="AA291" s="116">
        <v>0</v>
      </c>
      <c r="AB291" s="116">
        <v>0</v>
      </c>
      <c r="AC291" s="293">
        <f t="shared" si="505"/>
        <v>0</v>
      </c>
      <c r="AD291" s="115">
        <f t="shared" si="501"/>
        <v>3260130</v>
      </c>
      <c r="AE291" s="115">
        <f t="shared" si="501"/>
        <v>0</v>
      </c>
      <c r="AF291" s="293">
        <f t="shared" si="506"/>
        <v>3260130</v>
      </c>
      <c r="AG291" s="115">
        <v>3260130</v>
      </c>
      <c r="AH291" s="116">
        <v>0</v>
      </c>
      <c r="AI291" s="293">
        <f>SUM(AG291:AH291)</f>
        <v>3260130</v>
      </c>
      <c r="AJ291" s="115">
        <v>0</v>
      </c>
      <c r="AK291" s="116">
        <v>0</v>
      </c>
      <c r="AL291" s="116"/>
      <c r="AM291" s="293">
        <f t="shared" si="507"/>
        <v>0</v>
      </c>
      <c r="AN291" s="115">
        <v>0</v>
      </c>
      <c r="AO291" s="116">
        <v>0</v>
      </c>
      <c r="AP291" s="293">
        <f t="shared" ref="AP291:AP293" si="513">SUM(AN291:AO291)</f>
        <v>0</v>
      </c>
      <c r="AQ291" s="69">
        <f t="shared" si="508"/>
        <v>0</v>
      </c>
      <c r="AR291" s="41"/>
    </row>
    <row r="292" spans="2:44" s="46" customFormat="1" ht="49.15" customHeight="1">
      <c r="B292" s="113" t="s">
        <v>136</v>
      </c>
      <c r="C292" s="529" t="s">
        <v>711</v>
      </c>
      <c r="D292" s="114"/>
      <c r="E292" s="39" t="s">
        <v>370</v>
      </c>
      <c r="F292" s="388" t="s">
        <v>597</v>
      </c>
      <c r="G292" s="345">
        <v>2024</v>
      </c>
      <c r="H292" s="345">
        <v>2024</v>
      </c>
      <c r="I292" s="7">
        <v>3260130</v>
      </c>
      <c r="J292" s="7">
        <v>0</v>
      </c>
      <c r="K292" s="293">
        <f t="shared" si="509"/>
        <v>3260130</v>
      </c>
      <c r="L292" s="115">
        <v>0</v>
      </c>
      <c r="M292" s="116">
        <v>0</v>
      </c>
      <c r="N292" s="293">
        <f t="shared" si="510"/>
        <v>0</v>
      </c>
      <c r="O292" s="115">
        <v>0</v>
      </c>
      <c r="P292" s="116">
        <v>0</v>
      </c>
      <c r="Q292" s="293">
        <f t="shared" si="511"/>
        <v>0</v>
      </c>
      <c r="R292" s="115">
        <v>0</v>
      </c>
      <c r="S292" s="116">
        <v>0</v>
      </c>
      <c r="T292" s="293">
        <f t="shared" si="512"/>
        <v>0</v>
      </c>
      <c r="U292" s="115">
        <v>0</v>
      </c>
      <c r="V292" s="116">
        <v>0</v>
      </c>
      <c r="W292" s="293">
        <f t="shared" si="503"/>
        <v>0</v>
      </c>
      <c r="X292" s="115">
        <v>0</v>
      </c>
      <c r="Y292" s="116">
        <v>0</v>
      </c>
      <c r="Z292" s="293">
        <f t="shared" si="504"/>
        <v>0</v>
      </c>
      <c r="AA292" s="115">
        <v>0</v>
      </c>
      <c r="AB292" s="116">
        <v>0</v>
      </c>
      <c r="AC292" s="293">
        <f t="shared" si="505"/>
        <v>0</v>
      </c>
      <c r="AD292" s="115">
        <f t="shared" si="501"/>
        <v>3260130</v>
      </c>
      <c r="AE292" s="115">
        <f t="shared" si="501"/>
        <v>0</v>
      </c>
      <c r="AF292" s="293">
        <f t="shared" si="506"/>
        <v>3260130</v>
      </c>
      <c r="AG292" s="115">
        <v>3260130</v>
      </c>
      <c r="AH292" s="116">
        <v>0</v>
      </c>
      <c r="AI292" s="293">
        <f>SUM(AG292:AH292)</f>
        <v>3260130</v>
      </c>
      <c r="AJ292" s="115">
        <v>0</v>
      </c>
      <c r="AK292" s="116">
        <v>0</v>
      </c>
      <c r="AL292" s="116"/>
      <c r="AM292" s="293">
        <f t="shared" si="507"/>
        <v>0</v>
      </c>
      <c r="AN292" s="115">
        <v>0</v>
      </c>
      <c r="AO292" s="116">
        <v>0</v>
      </c>
      <c r="AP292" s="293">
        <f t="shared" si="513"/>
        <v>0</v>
      </c>
      <c r="AQ292" s="69">
        <f t="shared" si="508"/>
        <v>0</v>
      </c>
      <c r="AR292" s="41"/>
    </row>
    <row r="293" spans="2:44" s="46" customFormat="1" ht="58.15" customHeight="1" thickBot="1">
      <c r="B293" s="113" t="s">
        <v>137</v>
      </c>
      <c r="C293" s="530" t="s">
        <v>712</v>
      </c>
      <c r="D293" s="114"/>
      <c r="E293" s="389" t="s">
        <v>370</v>
      </c>
      <c r="F293" s="390" t="s">
        <v>597</v>
      </c>
      <c r="G293" s="373">
        <v>2025</v>
      </c>
      <c r="H293" s="373">
        <v>2030</v>
      </c>
      <c r="I293" s="7">
        <v>0</v>
      </c>
      <c r="J293" s="7">
        <v>0</v>
      </c>
      <c r="K293" s="293">
        <f t="shared" si="509"/>
        <v>0</v>
      </c>
      <c r="L293" s="115">
        <v>2173420</v>
      </c>
      <c r="M293" s="116">
        <v>0</v>
      </c>
      <c r="N293" s="293">
        <f t="shared" si="510"/>
        <v>2173420</v>
      </c>
      <c r="O293" s="115">
        <v>2173420</v>
      </c>
      <c r="P293" s="116">
        <v>0</v>
      </c>
      <c r="Q293" s="293">
        <f t="shared" si="511"/>
        <v>2173420</v>
      </c>
      <c r="R293" s="115">
        <v>2173420</v>
      </c>
      <c r="S293" s="116">
        <v>0</v>
      </c>
      <c r="T293" s="293">
        <f t="shared" si="512"/>
        <v>2173420</v>
      </c>
      <c r="U293" s="115">
        <v>2173420</v>
      </c>
      <c r="V293" s="116">
        <v>0</v>
      </c>
      <c r="W293" s="293">
        <f t="shared" si="503"/>
        <v>2173420</v>
      </c>
      <c r="X293" s="115">
        <v>2173420</v>
      </c>
      <c r="Y293" s="116">
        <v>0</v>
      </c>
      <c r="Z293" s="293">
        <f t="shared" si="504"/>
        <v>2173420</v>
      </c>
      <c r="AA293" s="115">
        <v>2173420</v>
      </c>
      <c r="AB293" s="116">
        <v>0</v>
      </c>
      <c r="AC293" s="293">
        <f t="shared" si="505"/>
        <v>2173420</v>
      </c>
      <c r="AD293" s="115">
        <f t="shared" si="501"/>
        <v>13040520</v>
      </c>
      <c r="AE293" s="115">
        <f t="shared" si="501"/>
        <v>0</v>
      </c>
      <c r="AF293" s="293">
        <f t="shared" si="506"/>
        <v>13040520</v>
      </c>
      <c r="AG293" s="115">
        <f>2173420*2</f>
        <v>4346840</v>
      </c>
      <c r="AH293" s="116">
        <v>0</v>
      </c>
      <c r="AI293" s="293">
        <f t="shared" ref="AI293" si="514">SUM(AG293:AH293)</f>
        <v>4346840</v>
      </c>
      <c r="AJ293" s="115">
        <v>0</v>
      </c>
      <c r="AK293" s="116">
        <v>0</v>
      </c>
      <c r="AL293" s="116"/>
      <c r="AM293" s="293">
        <f t="shared" si="507"/>
        <v>0</v>
      </c>
      <c r="AN293" s="115">
        <f>2173420*4</f>
        <v>8693680</v>
      </c>
      <c r="AO293" s="116">
        <v>0</v>
      </c>
      <c r="AP293" s="293">
        <f t="shared" si="513"/>
        <v>8693680</v>
      </c>
      <c r="AQ293" s="69">
        <f t="shared" si="508"/>
        <v>0</v>
      </c>
      <c r="AR293" s="41"/>
    </row>
    <row r="294" spans="2:44" ht="75.599999999999994" customHeight="1">
      <c r="B294" s="208" t="s">
        <v>9</v>
      </c>
      <c r="C294" s="258" t="s">
        <v>1604</v>
      </c>
      <c r="D294" s="209"/>
      <c r="E294" s="186" t="s">
        <v>370</v>
      </c>
      <c r="F294" s="186" t="s">
        <v>371</v>
      </c>
      <c r="G294" s="185">
        <v>2024</v>
      </c>
      <c r="H294" s="185">
        <v>2030</v>
      </c>
      <c r="I294" s="221">
        <f>SUM(I295:I298)</f>
        <v>5156840</v>
      </c>
      <c r="J294" s="221">
        <f>SUM(J295:J298)</f>
        <v>0</v>
      </c>
      <c r="K294" s="221">
        <f>I294+J294</f>
        <v>5156840</v>
      </c>
      <c r="L294" s="221">
        <f>SUM(L295:L298)</f>
        <v>7330260</v>
      </c>
      <c r="M294" s="221">
        <f>SUM(M295:M298)</f>
        <v>0</v>
      </c>
      <c r="N294" s="221">
        <f>L294+M294</f>
        <v>7330260</v>
      </c>
      <c r="O294" s="221">
        <f>SUM(O295:O298)</f>
        <v>5156840</v>
      </c>
      <c r="P294" s="221">
        <f>SUM(P295:P298)</f>
        <v>0</v>
      </c>
      <c r="Q294" s="221">
        <f>O294+P294</f>
        <v>5156840</v>
      </c>
      <c r="R294" s="221">
        <f>SUM(R295:R298)</f>
        <v>5156840</v>
      </c>
      <c r="S294" s="221">
        <f>SUM(S295:S298)</f>
        <v>0</v>
      </c>
      <c r="T294" s="221">
        <f>R294+S294</f>
        <v>5156840</v>
      </c>
      <c r="U294" s="221">
        <f>SUM(U295:U298)</f>
        <v>5156840</v>
      </c>
      <c r="V294" s="221">
        <f>SUM(V295:V298)</f>
        <v>0</v>
      </c>
      <c r="W294" s="221">
        <f>U294+V294</f>
        <v>5156840</v>
      </c>
      <c r="X294" s="221">
        <f>SUM(X295:X298)</f>
        <v>5156840</v>
      </c>
      <c r="Y294" s="221">
        <f>SUM(Y295:Y298)</f>
        <v>0</v>
      </c>
      <c r="Z294" s="221">
        <f>SUM(X294:Y294)</f>
        <v>5156840</v>
      </c>
      <c r="AA294" s="221">
        <f>SUM(AA295:AA298)</f>
        <v>5156840</v>
      </c>
      <c r="AB294" s="221">
        <f>SUM(AB295:AB298)</f>
        <v>0</v>
      </c>
      <c r="AC294" s="221">
        <f>SUM(AA294:AB294)</f>
        <v>5156840</v>
      </c>
      <c r="AD294" s="221">
        <f t="shared" ref="AD294:AE303" si="515">I294+L294+O294+R294+U294+X294+AA294</f>
        <v>38271300</v>
      </c>
      <c r="AE294" s="221">
        <f t="shared" si="515"/>
        <v>0</v>
      </c>
      <c r="AF294" s="221">
        <f>AD294+AE294</f>
        <v>38271300</v>
      </c>
      <c r="AG294" s="221">
        <f>SUM(AG295:AG298)</f>
        <v>17643940</v>
      </c>
      <c r="AH294" s="221">
        <f>SUM(AH295:AH298)</f>
        <v>0</v>
      </c>
      <c r="AI294" s="221">
        <f>AG294+AH294</f>
        <v>17643940</v>
      </c>
      <c r="AJ294" s="221">
        <f>SUM(AJ295:AJ298)</f>
        <v>0</v>
      </c>
      <c r="AK294" s="221">
        <f>SUM(AK295:AK298)</f>
        <v>0</v>
      </c>
      <c r="AL294" s="212"/>
      <c r="AM294" s="221">
        <f>AJ294+AK294</f>
        <v>0</v>
      </c>
      <c r="AN294" s="221">
        <f>SUM(AN295:AN298)</f>
        <v>20627360</v>
      </c>
      <c r="AO294" s="221">
        <f>SUM(AO295:AO298)</f>
        <v>0</v>
      </c>
      <c r="AP294" s="221">
        <f>AN294+AO294</f>
        <v>20627360</v>
      </c>
      <c r="AQ294" s="193">
        <f t="shared" si="508"/>
        <v>0</v>
      </c>
      <c r="AR294" s="47"/>
    </row>
    <row r="295" spans="2:44" ht="86.25" customHeight="1">
      <c r="B295" s="52" t="s">
        <v>138</v>
      </c>
      <c r="C295" s="375" t="s">
        <v>713</v>
      </c>
      <c r="D295" s="99"/>
      <c r="E295" s="325" t="s">
        <v>370</v>
      </c>
      <c r="F295" s="387"/>
      <c r="G295" s="71">
        <v>2024</v>
      </c>
      <c r="H295" s="71">
        <v>2030</v>
      </c>
      <c r="I295" s="117">
        <v>2173420</v>
      </c>
      <c r="J295" s="118">
        <v>0</v>
      </c>
      <c r="K295" s="295">
        <f>SUM(I295:J295)</f>
        <v>2173420</v>
      </c>
      <c r="L295" s="117">
        <v>2173420</v>
      </c>
      <c r="M295" s="118">
        <v>0</v>
      </c>
      <c r="N295" s="295">
        <f>SUM(L295:M295)</f>
        <v>2173420</v>
      </c>
      <c r="O295" s="117">
        <v>2173420</v>
      </c>
      <c r="P295" s="118">
        <v>0</v>
      </c>
      <c r="Q295" s="295">
        <f>O295+P295</f>
        <v>2173420</v>
      </c>
      <c r="R295" s="117">
        <v>2173420</v>
      </c>
      <c r="S295" s="118">
        <v>0</v>
      </c>
      <c r="T295" s="295">
        <f>R295+S295</f>
        <v>2173420</v>
      </c>
      <c r="U295" s="117">
        <v>2173420</v>
      </c>
      <c r="V295" s="118">
        <v>0</v>
      </c>
      <c r="W295" s="295">
        <f>U295+V295</f>
        <v>2173420</v>
      </c>
      <c r="X295" s="117">
        <v>2173420</v>
      </c>
      <c r="Y295" s="118">
        <v>0</v>
      </c>
      <c r="Z295" s="295">
        <f t="shared" ref="Z295:Z298" si="516">SUM(X295:Y295)</f>
        <v>2173420</v>
      </c>
      <c r="AA295" s="117">
        <v>2173420</v>
      </c>
      <c r="AB295" s="118">
        <v>0</v>
      </c>
      <c r="AC295" s="295">
        <f t="shared" ref="AC295:AC298" si="517">SUM(AA295:AB295)</f>
        <v>2173420</v>
      </c>
      <c r="AD295" s="117">
        <f t="shared" si="515"/>
        <v>15213940</v>
      </c>
      <c r="AE295" s="117">
        <f t="shared" si="515"/>
        <v>0</v>
      </c>
      <c r="AF295" s="295">
        <f>AD295+AE295</f>
        <v>15213940</v>
      </c>
      <c r="AG295" s="117">
        <f>2173420*3</f>
        <v>6520260</v>
      </c>
      <c r="AH295" s="118">
        <v>0</v>
      </c>
      <c r="AI295" s="295">
        <f>SUM(AG295:AH295)</f>
        <v>6520260</v>
      </c>
      <c r="AJ295" s="117">
        <v>0</v>
      </c>
      <c r="AK295" s="118">
        <v>0</v>
      </c>
      <c r="AL295" s="105"/>
      <c r="AM295" s="295">
        <f t="shared" si="507"/>
        <v>0</v>
      </c>
      <c r="AN295" s="117">
        <f>2173420*4</f>
        <v>8693680</v>
      </c>
      <c r="AO295" s="118">
        <v>0</v>
      </c>
      <c r="AP295" s="295">
        <f>SUM(AN295:AO295)</f>
        <v>8693680</v>
      </c>
      <c r="AQ295" s="170">
        <f t="shared" si="508"/>
        <v>0</v>
      </c>
      <c r="AR295" s="47"/>
    </row>
    <row r="296" spans="2:44" ht="40.15" customHeight="1">
      <c r="B296" s="52" t="s">
        <v>139</v>
      </c>
      <c r="C296" s="353" t="s">
        <v>714</v>
      </c>
      <c r="D296" s="99"/>
      <c r="E296" s="39" t="s">
        <v>370</v>
      </c>
      <c r="F296" s="388"/>
      <c r="G296" s="71">
        <v>2024</v>
      </c>
      <c r="H296" s="71">
        <v>2030</v>
      </c>
      <c r="I296" s="117">
        <v>2173420</v>
      </c>
      <c r="J296" s="118">
        <v>0</v>
      </c>
      <c r="K296" s="295">
        <f>SUM(I296:J296)</f>
        <v>2173420</v>
      </c>
      <c r="L296" s="117">
        <v>2173420</v>
      </c>
      <c r="M296" s="118">
        <v>0</v>
      </c>
      <c r="N296" s="295">
        <f>SUM(L296:M296)</f>
        <v>2173420</v>
      </c>
      <c r="O296" s="117">
        <v>2173420</v>
      </c>
      <c r="P296" s="118">
        <v>0</v>
      </c>
      <c r="Q296" s="295">
        <f>O296+P296</f>
        <v>2173420</v>
      </c>
      <c r="R296" s="117">
        <v>2173420</v>
      </c>
      <c r="S296" s="118">
        <v>0</v>
      </c>
      <c r="T296" s="295">
        <f>R296+S296</f>
        <v>2173420</v>
      </c>
      <c r="U296" s="117">
        <v>2173420</v>
      </c>
      <c r="V296" s="118">
        <v>0</v>
      </c>
      <c r="W296" s="295">
        <f>U296+V296</f>
        <v>2173420</v>
      </c>
      <c r="X296" s="117">
        <v>2173420</v>
      </c>
      <c r="Y296" s="118">
        <v>0</v>
      </c>
      <c r="Z296" s="295">
        <f t="shared" si="516"/>
        <v>2173420</v>
      </c>
      <c r="AA296" s="117">
        <v>2173420</v>
      </c>
      <c r="AB296" s="118">
        <v>0</v>
      </c>
      <c r="AC296" s="295">
        <f t="shared" si="517"/>
        <v>2173420</v>
      </c>
      <c r="AD296" s="117">
        <f t="shared" si="515"/>
        <v>15213940</v>
      </c>
      <c r="AE296" s="117">
        <f t="shared" si="515"/>
        <v>0</v>
      </c>
      <c r="AF296" s="295">
        <f>AD296+AE296</f>
        <v>15213940</v>
      </c>
      <c r="AG296" s="117">
        <f>2173420*3</f>
        <v>6520260</v>
      </c>
      <c r="AH296" s="118">
        <v>0</v>
      </c>
      <c r="AI296" s="295">
        <f>SUM(AG296:AH296)</f>
        <v>6520260</v>
      </c>
      <c r="AJ296" s="117">
        <v>0</v>
      </c>
      <c r="AK296" s="118">
        <v>0</v>
      </c>
      <c r="AL296" s="105"/>
      <c r="AM296" s="295">
        <f t="shared" si="507"/>
        <v>0</v>
      </c>
      <c r="AN296" s="117">
        <f>2173420*4</f>
        <v>8693680</v>
      </c>
      <c r="AO296" s="118">
        <v>0</v>
      </c>
      <c r="AP296" s="295">
        <f>SUM(AN296:AO296)</f>
        <v>8693680</v>
      </c>
      <c r="AQ296" s="170">
        <f t="shared" si="508"/>
        <v>0</v>
      </c>
      <c r="AR296" s="47"/>
    </row>
    <row r="297" spans="2:44" ht="39.6" customHeight="1">
      <c r="B297" s="52" t="s">
        <v>213</v>
      </c>
      <c r="C297" s="529" t="s">
        <v>715</v>
      </c>
      <c r="D297" s="99"/>
      <c r="E297" s="39" t="s">
        <v>370</v>
      </c>
      <c r="F297" s="388" t="s">
        <v>371</v>
      </c>
      <c r="G297" s="71">
        <v>2025</v>
      </c>
      <c r="H297" s="71">
        <v>2025</v>
      </c>
      <c r="I297" s="117">
        <v>0</v>
      </c>
      <c r="J297" s="118">
        <v>0</v>
      </c>
      <c r="K297" s="295">
        <f t="shared" ref="K297:K298" si="518">SUM(I297:J297)</f>
        <v>0</v>
      </c>
      <c r="L297" s="117">
        <v>2173420</v>
      </c>
      <c r="M297" s="118">
        <v>0</v>
      </c>
      <c r="N297" s="295">
        <f t="shared" ref="N297:N298" si="519">SUM(L297:M297)</f>
        <v>2173420</v>
      </c>
      <c r="O297" s="117">
        <v>0</v>
      </c>
      <c r="P297" s="118">
        <v>0</v>
      </c>
      <c r="Q297" s="295">
        <f t="shared" ref="Q297:Q298" si="520">O297+P297</f>
        <v>0</v>
      </c>
      <c r="R297" s="117">
        <v>0</v>
      </c>
      <c r="S297" s="118">
        <v>0</v>
      </c>
      <c r="T297" s="295">
        <f t="shared" ref="T297:T298" si="521">R297+S297</f>
        <v>0</v>
      </c>
      <c r="U297" s="117">
        <v>0</v>
      </c>
      <c r="V297" s="118">
        <v>0</v>
      </c>
      <c r="W297" s="295">
        <f t="shared" ref="W297:W298" si="522">U297+V297</f>
        <v>0</v>
      </c>
      <c r="X297" s="118">
        <v>0</v>
      </c>
      <c r="Y297" s="118">
        <v>0</v>
      </c>
      <c r="Z297" s="295">
        <f t="shared" si="516"/>
        <v>0</v>
      </c>
      <c r="AA297" s="118">
        <v>0</v>
      </c>
      <c r="AB297" s="118">
        <v>0</v>
      </c>
      <c r="AC297" s="295">
        <f t="shared" si="517"/>
        <v>0</v>
      </c>
      <c r="AD297" s="117">
        <f t="shared" si="515"/>
        <v>2173420</v>
      </c>
      <c r="AE297" s="117">
        <f t="shared" si="515"/>
        <v>0</v>
      </c>
      <c r="AF297" s="295">
        <f t="shared" ref="AF297:AF302" si="523">AD297+AE297</f>
        <v>2173420</v>
      </c>
      <c r="AG297" s="117">
        <v>2173420</v>
      </c>
      <c r="AH297" s="118">
        <v>0</v>
      </c>
      <c r="AI297" s="295">
        <f t="shared" ref="AI297:AI298" si="524">SUM(AG297:AH297)</f>
        <v>2173420</v>
      </c>
      <c r="AJ297" s="117">
        <v>0</v>
      </c>
      <c r="AK297" s="128">
        <v>0</v>
      </c>
      <c r="AL297" s="105"/>
      <c r="AM297" s="295">
        <f>AJ297+AK298</f>
        <v>0</v>
      </c>
      <c r="AN297" s="117">
        <v>0</v>
      </c>
      <c r="AO297" s="118">
        <v>0</v>
      </c>
      <c r="AP297" s="295">
        <f t="shared" ref="AP297:AP298" si="525">SUM(AN297:AO297)</f>
        <v>0</v>
      </c>
      <c r="AQ297" s="170">
        <f t="shared" si="508"/>
        <v>0</v>
      </c>
      <c r="AR297" s="47"/>
    </row>
    <row r="298" spans="2:44" ht="37.15" customHeight="1" thickBot="1">
      <c r="B298" s="52" t="s">
        <v>214</v>
      </c>
      <c r="C298" s="531" t="s">
        <v>716</v>
      </c>
      <c r="D298" s="99"/>
      <c r="E298" s="167" t="s">
        <v>370</v>
      </c>
      <c r="F298" s="395"/>
      <c r="G298" s="71">
        <v>2024</v>
      </c>
      <c r="H298" s="71">
        <v>2030</v>
      </c>
      <c r="I298" s="117">
        <f>2*15*3*9000</f>
        <v>810000</v>
      </c>
      <c r="J298" s="118">
        <v>0</v>
      </c>
      <c r="K298" s="295">
        <f t="shared" si="518"/>
        <v>810000</v>
      </c>
      <c r="L298" s="117">
        <v>810000</v>
      </c>
      <c r="M298" s="118">
        <v>0</v>
      </c>
      <c r="N298" s="295">
        <f t="shared" si="519"/>
        <v>810000</v>
      </c>
      <c r="O298" s="117">
        <v>810000</v>
      </c>
      <c r="P298" s="118">
        <v>0</v>
      </c>
      <c r="Q298" s="295">
        <f t="shared" si="520"/>
        <v>810000</v>
      </c>
      <c r="R298" s="117">
        <v>810000</v>
      </c>
      <c r="S298" s="118">
        <v>0</v>
      </c>
      <c r="T298" s="295">
        <f t="shared" si="521"/>
        <v>810000</v>
      </c>
      <c r="U298" s="117">
        <v>810000</v>
      </c>
      <c r="V298" s="118">
        <v>0</v>
      </c>
      <c r="W298" s="295">
        <f t="shared" si="522"/>
        <v>810000</v>
      </c>
      <c r="X298" s="117">
        <v>810000</v>
      </c>
      <c r="Y298" s="118">
        <v>0</v>
      </c>
      <c r="Z298" s="295">
        <f t="shared" si="516"/>
        <v>810000</v>
      </c>
      <c r="AA298" s="117">
        <v>810000</v>
      </c>
      <c r="AB298" s="118">
        <v>0</v>
      </c>
      <c r="AC298" s="295">
        <f t="shared" si="517"/>
        <v>810000</v>
      </c>
      <c r="AD298" s="117">
        <f t="shared" si="515"/>
        <v>5670000</v>
      </c>
      <c r="AE298" s="117">
        <f t="shared" si="515"/>
        <v>0</v>
      </c>
      <c r="AF298" s="295">
        <f t="shared" si="523"/>
        <v>5670000</v>
      </c>
      <c r="AG298" s="117">
        <f>810000*3</f>
        <v>2430000</v>
      </c>
      <c r="AH298" s="118">
        <v>0</v>
      </c>
      <c r="AI298" s="295">
        <f t="shared" si="524"/>
        <v>2430000</v>
      </c>
      <c r="AJ298" s="117">
        <v>0</v>
      </c>
      <c r="AK298" s="118">
        <v>0</v>
      </c>
      <c r="AL298" s="105"/>
      <c r="AM298" s="295">
        <f>AJ298+AK299</f>
        <v>0</v>
      </c>
      <c r="AN298" s="117">
        <f>810000*4</f>
        <v>3240000</v>
      </c>
      <c r="AO298" s="118">
        <v>0</v>
      </c>
      <c r="AP298" s="295">
        <f t="shared" si="525"/>
        <v>3240000</v>
      </c>
      <c r="AQ298" s="170">
        <f t="shared" si="508"/>
        <v>0</v>
      </c>
      <c r="AR298" s="47"/>
    </row>
    <row r="299" spans="2:44" ht="47.45" customHeight="1" thickBot="1">
      <c r="B299" s="213" t="s">
        <v>215</v>
      </c>
      <c r="C299" s="258" t="s">
        <v>720</v>
      </c>
      <c r="D299" s="209"/>
      <c r="E299" s="502" t="s">
        <v>370</v>
      </c>
      <c r="F299" s="532" t="s">
        <v>597</v>
      </c>
      <c r="G299" s="185">
        <v>2024</v>
      </c>
      <c r="H299" s="185">
        <v>2030</v>
      </c>
      <c r="I299" s="221">
        <f>SUM(I300:I302)</f>
        <v>6520260</v>
      </c>
      <c r="J299" s="221">
        <f>SUM(J300:J302)</f>
        <v>0</v>
      </c>
      <c r="K299" s="221">
        <f>SUM(I299:J299)</f>
        <v>6520260</v>
      </c>
      <c r="L299" s="221">
        <f t="shared" ref="L299:M299" si="526">SUM(L300:L302)</f>
        <v>6520260</v>
      </c>
      <c r="M299" s="221">
        <f t="shared" si="526"/>
        <v>0</v>
      </c>
      <c r="N299" s="221">
        <f>SUM(L299:M299)</f>
        <v>6520260</v>
      </c>
      <c r="O299" s="221">
        <f t="shared" ref="O299:P299" si="527">SUM(O300:O302)</f>
        <v>6520260</v>
      </c>
      <c r="P299" s="221">
        <f t="shared" si="527"/>
        <v>0</v>
      </c>
      <c r="Q299" s="221">
        <f>SUM(O299:P299)</f>
        <v>6520260</v>
      </c>
      <c r="R299" s="221">
        <f t="shared" ref="R299:S299" si="528">SUM(R300:R302)</f>
        <v>6520260</v>
      </c>
      <c r="S299" s="221">
        <f t="shared" si="528"/>
        <v>0</v>
      </c>
      <c r="T299" s="221">
        <f>SUM(R299:S299)</f>
        <v>6520260</v>
      </c>
      <c r="U299" s="221">
        <f t="shared" ref="U299:V299" si="529">SUM(U300:U302)</f>
        <v>6520260</v>
      </c>
      <c r="V299" s="221">
        <f t="shared" si="529"/>
        <v>0</v>
      </c>
      <c r="W299" s="221">
        <f>SUM(U299:V299)</f>
        <v>6520260</v>
      </c>
      <c r="X299" s="221">
        <f t="shared" ref="X299:Y299" si="530">SUM(X300:X302)</f>
        <v>6520260</v>
      </c>
      <c r="Y299" s="221">
        <f t="shared" si="530"/>
        <v>0</v>
      </c>
      <c r="Z299" s="221">
        <f>SUM(X299:Y299)</f>
        <v>6520260</v>
      </c>
      <c r="AA299" s="221">
        <f t="shared" ref="AA299:AB299" si="531">SUM(AA300:AA302)</f>
        <v>6520260</v>
      </c>
      <c r="AB299" s="221">
        <f t="shared" si="531"/>
        <v>0</v>
      </c>
      <c r="AC299" s="221">
        <f>SUM(AA299:AB299)</f>
        <v>6520260</v>
      </c>
      <c r="AD299" s="221">
        <f t="shared" si="515"/>
        <v>45641820</v>
      </c>
      <c r="AE299" s="221">
        <f t="shared" si="515"/>
        <v>0</v>
      </c>
      <c r="AF299" s="221">
        <f t="shared" si="523"/>
        <v>45641820</v>
      </c>
      <c r="AG299" s="221">
        <f t="shared" ref="AG299:AH299" si="532">SUM(AG300:AG302)</f>
        <v>19560780</v>
      </c>
      <c r="AH299" s="221">
        <f t="shared" si="532"/>
        <v>0</v>
      </c>
      <c r="AI299" s="221">
        <f>SUM(AG299:AH299)</f>
        <v>19560780</v>
      </c>
      <c r="AJ299" s="221">
        <f t="shared" ref="AJ299:AK299" si="533">SUM(AJ300:AJ302)</f>
        <v>0</v>
      </c>
      <c r="AK299" s="221">
        <f t="shared" si="533"/>
        <v>0</v>
      </c>
      <c r="AL299" s="212"/>
      <c r="AM299" s="221">
        <f>AJ299+AK299</f>
        <v>0</v>
      </c>
      <c r="AN299" s="221">
        <f t="shared" ref="AN299:AO299" si="534">SUM(AN300:AN302)</f>
        <v>26081040</v>
      </c>
      <c r="AO299" s="221">
        <f t="shared" si="534"/>
        <v>0</v>
      </c>
      <c r="AP299" s="221">
        <f>SUM(AN299:AO299)</f>
        <v>26081040</v>
      </c>
      <c r="AQ299" s="211">
        <f t="shared" si="508"/>
        <v>0</v>
      </c>
      <c r="AR299" s="47"/>
    </row>
    <row r="300" spans="2:44" ht="59.45" customHeight="1">
      <c r="B300" s="52" t="s">
        <v>717</v>
      </c>
      <c r="C300" s="352" t="s">
        <v>721</v>
      </c>
      <c r="D300" s="99"/>
      <c r="E300" s="323" t="s">
        <v>370</v>
      </c>
      <c r="F300" s="367" t="s">
        <v>597</v>
      </c>
      <c r="G300" s="71">
        <v>2024</v>
      </c>
      <c r="H300" s="71">
        <v>2030</v>
      </c>
      <c r="I300" s="117">
        <v>2173420</v>
      </c>
      <c r="J300" s="118">
        <v>0</v>
      </c>
      <c r="K300" s="295">
        <f t="shared" ref="K300:K301" si="535">SUM(I300:J300)</f>
        <v>2173420</v>
      </c>
      <c r="L300" s="117">
        <v>2173420</v>
      </c>
      <c r="M300" s="118">
        <v>0</v>
      </c>
      <c r="N300" s="295">
        <f t="shared" ref="N300:N301" si="536">SUM(L300:M300)</f>
        <v>2173420</v>
      </c>
      <c r="O300" s="117">
        <v>2173420</v>
      </c>
      <c r="P300" s="118">
        <v>0</v>
      </c>
      <c r="Q300" s="295">
        <f t="shared" ref="Q300:Q301" si="537">SUM(O300:P300)</f>
        <v>2173420</v>
      </c>
      <c r="R300" s="117">
        <v>2173420</v>
      </c>
      <c r="S300" s="118">
        <v>0</v>
      </c>
      <c r="T300" s="295">
        <f t="shared" ref="T300:T301" si="538">SUM(R300:S300)</f>
        <v>2173420</v>
      </c>
      <c r="U300" s="117">
        <v>2173420</v>
      </c>
      <c r="V300" s="118">
        <v>0</v>
      </c>
      <c r="W300" s="295">
        <f t="shared" ref="W300:W301" si="539">SUM(U300:V300)</f>
        <v>2173420</v>
      </c>
      <c r="X300" s="117">
        <v>2173420</v>
      </c>
      <c r="Y300" s="118">
        <v>0</v>
      </c>
      <c r="Z300" s="295">
        <f t="shared" ref="Z300:Z301" si="540">SUM(X300:Y300)</f>
        <v>2173420</v>
      </c>
      <c r="AA300" s="117">
        <v>2173420</v>
      </c>
      <c r="AB300" s="118">
        <v>0</v>
      </c>
      <c r="AC300" s="295">
        <f t="shared" ref="AC300:AC301" si="541">SUM(AA300:AB300)</f>
        <v>2173420</v>
      </c>
      <c r="AD300" s="117">
        <f t="shared" si="515"/>
        <v>15213940</v>
      </c>
      <c r="AE300" s="117">
        <f t="shared" si="515"/>
        <v>0</v>
      </c>
      <c r="AF300" s="295">
        <f t="shared" si="523"/>
        <v>15213940</v>
      </c>
      <c r="AG300" s="117">
        <f>2173420*3</f>
        <v>6520260</v>
      </c>
      <c r="AH300" s="117">
        <v>0</v>
      </c>
      <c r="AI300" s="295">
        <f t="shared" ref="AI300:AI301" si="542">SUM(AG300:AH300)</f>
        <v>6520260</v>
      </c>
      <c r="AJ300" s="117">
        <v>0</v>
      </c>
      <c r="AK300" s="117">
        <v>0</v>
      </c>
      <c r="AL300" s="106"/>
      <c r="AM300" s="295">
        <f t="shared" ref="AM300:AM301" si="543">AJ300+AK300</f>
        <v>0</v>
      </c>
      <c r="AN300" s="117">
        <f>2173420*4</f>
        <v>8693680</v>
      </c>
      <c r="AO300" s="117">
        <v>0</v>
      </c>
      <c r="AP300" s="295">
        <f t="shared" ref="AP300:AP301" si="544">SUM(AN300:AO300)</f>
        <v>8693680</v>
      </c>
      <c r="AQ300" s="299">
        <f t="shared" si="508"/>
        <v>0</v>
      </c>
      <c r="AR300" s="47"/>
    </row>
    <row r="301" spans="2:44" ht="67.900000000000006" customHeight="1">
      <c r="B301" s="52" t="s">
        <v>718</v>
      </c>
      <c r="C301" s="353" t="s">
        <v>722</v>
      </c>
      <c r="D301" s="99"/>
      <c r="E301" s="39" t="s">
        <v>370</v>
      </c>
      <c r="F301" s="368" t="s">
        <v>597</v>
      </c>
      <c r="G301" s="71">
        <v>2024</v>
      </c>
      <c r="H301" s="71">
        <v>2025</v>
      </c>
      <c r="I301" s="117">
        <v>1086710</v>
      </c>
      <c r="J301" s="117">
        <v>0</v>
      </c>
      <c r="K301" s="295">
        <f t="shared" si="535"/>
        <v>1086710</v>
      </c>
      <c r="L301" s="117">
        <v>1086710</v>
      </c>
      <c r="M301" s="117">
        <v>0</v>
      </c>
      <c r="N301" s="295">
        <f t="shared" si="536"/>
        <v>1086710</v>
      </c>
      <c r="O301" s="117">
        <v>1086710</v>
      </c>
      <c r="P301" s="117">
        <v>0</v>
      </c>
      <c r="Q301" s="295">
        <f t="shared" si="537"/>
        <v>1086710</v>
      </c>
      <c r="R301" s="117">
        <v>1086710</v>
      </c>
      <c r="S301" s="117">
        <v>0</v>
      </c>
      <c r="T301" s="295">
        <f t="shared" si="538"/>
        <v>1086710</v>
      </c>
      <c r="U301" s="117">
        <v>1086710</v>
      </c>
      <c r="V301" s="117">
        <v>0</v>
      </c>
      <c r="W301" s="295">
        <f t="shared" si="539"/>
        <v>1086710</v>
      </c>
      <c r="X301" s="117">
        <v>1086710</v>
      </c>
      <c r="Y301" s="117">
        <v>0</v>
      </c>
      <c r="Z301" s="295">
        <f t="shared" si="540"/>
        <v>1086710</v>
      </c>
      <c r="AA301" s="117">
        <v>1086710</v>
      </c>
      <c r="AB301" s="117">
        <v>0</v>
      </c>
      <c r="AC301" s="295">
        <f t="shared" si="541"/>
        <v>1086710</v>
      </c>
      <c r="AD301" s="117">
        <f t="shared" si="515"/>
        <v>7606970</v>
      </c>
      <c r="AE301" s="117">
        <f t="shared" si="515"/>
        <v>0</v>
      </c>
      <c r="AF301" s="295">
        <f t="shared" si="523"/>
        <v>7606970</v>
      </c>
      <c r="AG301" s="117">
        <f>1086710*3</f>
        <v>3260130</v>
      </c>
      <c r="AH301" s="117">
        <v>0</v>
      </c>
      <c r="AI301" s="295">
        <f t="shared" si="542"/>
        <v>3260130</v>
      </c>
      <c r="AJ301" s="117">
        <v>0</v>
      </c>
      <c r="AK301" s="117">
        <v>0</v>
      </c>
      <c r="AL301" s="106"/>
      <c r="AM301" s="295">
        <f t="shared" si="543"/>
        <v>0</v>
      </c>
      <c r="AN301" s="117">
        <f>1086710*4</f>
        <v>4346840</v>
      </c>
      <c r="AO301" s="117">
        <v>0</v>
      </c>
      <c r="AP301" s="295">
        <f t="shared" si="544"/>
        <v>4346840</v>
      </c>
      <c r="AQ301" s="299">
        <f t="shared" si="508"/>
        <v>0</v>
      </c>
      <c r="AR301" s="47"/>
    </row>
    <row r="302" spans="2:44" ht="43.9" customHeight="1" thickBot="1">
      <c r="B302" s="52" t="s">
        <v>719</v>
      </c>
      <c r="C302" s="372" t="s">
        <v>723</v>
      </c>
      <c r="D302" s="99"/>
      <c r="E302" s="389" t="s">
        <v>370</v>
      </c>
      <c r="F302" s="506" t="s">
        <v>597</v>
      </c>
      <c r="G302" s="71">
        <v>2024</v>
      </c>
      <c r="H302" s="71">
        <v>2030</v>
      </c>
      <c r="I302" s="117">
        <v>3260130</v>
      </c>
      <c r="J302" s="118">
        <v>0</v>
      </c>
      <c r="K302" s="295">
        <f>SUM(I302:J302)</f>
        <v>3260130</v>
      </c>
      <c r="L302" s="117">
        <v>3260130</v>
      </c>
      <c r="M302" s="118">
        <v>0</v>
      </c>
      <c r="N302" s="295">
        <f>SUM(L302:M302)</f>
        <v>3260130</v>
      </c>
      <c r="O302" s="117">
        <v>3260130</v>
      </c>
      <c r="P302" s="118">
        <v>0</v>
      </c>
      <c r="Q302" s="295">
        <f>SUM(O302:P302)</f>
        <v>3260130</v>
      </c>
      <c r="R302" s="117">
        <v>3260130</v>
      </c>
      <c r="S302" s="118">
        <v>0</v>
      </c>
      <c r="T302" s="295">
        <f>SUM(R302:S302)</f>
        <v>3260130</v>
      </c>
      <c r="U302" s="117">
        <v>3260130</v>
      </c>
      <c r="V302" s="118">
        <v>0</v>
      </c>
      <c r="W302" s="295">
        <f>SUM(U302:V302)</f>
        <v>3260130</v>
      </c>
      <c r="X302" s="117">
        <v>3260130</v>
      </c>
      <c r="Y302" s="118">
        <v>0</v>
      </c>
      <c r="Z302" s="295">
        <f>SUM(X302:Y302)</f>
        <v>3260130</v>
      </c>
      <c r="AA302" s="117">
        <v>3260130</v>
      </c>
      <c r="AB302" s="118">
        <v>0</v>
      </c>
      <c r="AC302" s="295">
        <f>SUM(AA302:AB302)</f>
        <v>3260130</v>
      </c>
      <c r="AD302" s="117">
        <f t="shared" si="515"/>
        <v>22820910</v>
      </c>
      <c r="AE302" s="117">
        <f t="shared" si="515"/>
        <v>0</v>
      </c>
      <c r="AF302" s="295">
        <f t="shared" si="523"/>
        <v>22820910</v>
      </c>
      <c r="AG302" s="117">
        <f>3260130*3</f>
        <v>9780390</v>
      </c>
      <c r="AH302" s="118">
        <v>0</v>
      </c>
      <c r="AI302" s="295">
        <f>SUM(AG302:AH302)</f>
        <v>9780390</v>
      </c>
      <c r="AJ302" s="117">
        <v>0</v>
      </c>
      <c r="AK302" s="118">
        <v>0</v>
      </c>
      <c r="AL302" s="105"/>
      <c r="AM302" s="295">
        <f>AJ302+AK302</f>
        <v>0</v>
      </c>
      <c r="AN302" s="117">
        <f>3260130*4</f>
        <v>13040520</v>
      </c>
      <c r="AO302" s="118">
        <v>0</v>
      </c>
      <c r="AP302" s="295">
        <f>SUM(AN302:AO302)</f>
        <v>13040520</v>
      </c>
      <c r="AQ302" s="170">
        <f t="shared" si="508"/>
        <v>0</v>
      </c>
      <c r="AR302" s="47"/>
    </row>
    <row r="303" spans="2:44" ht="86.25" customHeight="1">
      <c r="B303" s="534" t="s">
        <v>216</v>
      </c>
      <c r="C303" s="265" t="s">
        <v>725</v>
      </c>
      <c r="D303" s="225"/>
      <c r="E303" s="201" t="s">
        <v>370</v>
      </c>
      <c r="F303" s="535" t="s">
        <v>597</v>
      </c>
      <c r="G303" s="690">
        <v>2025</v>
      </c>
      <c r="H303" s="690">
        <v>2026</v>
      </c>
      <c r="I303" s="536">
        <f>SUM(I304:I307)</f>
        <v>1086710</v>
      </c>
      <c r="J303" s="221">
        <f>SUM(J304:J307)</f>
        <v>0</v>
      </c>
      <c r="K303" s="221">
        <f>SUM(I303:J303)</f>
        <v>1086710</v>
      </c>
      <c r="L303" s="221">
        <f>SUM(L304:L307)</f>
        <v>6520260</v>
      </c>
      <c r="M303" s="221">
        <f>SUM(M304:M307)</f>
        <v>0</v>
      </c>
      <c r="N303" s="221">
        <f>SUM(L303:M303)</f>
        <v>6520260</v>
      </c>
      <c r="O303" s="221">
        <f>SUM(O304:O307)</f>
        <v>5433550</v>
      </c>
      <c r="P303" s="221">
        <f>SUM(P304:P307)</f>
        <v>0</v>
      </c>
      <c r="Q303" s="221">
        <f>SUM(O303:P303)</f>
        <v>5433550</v>
      </c>
      <c r="R303" s="221">
        <f>SUM(R304:R307)</f>
        <v>1086710</v>
      </c>
      <c r="S303" s="221">
        <f>SUM(S304:S307)</f>
        <v>0</v>
      </c>
      <c r="T303" s="221">
        <f>SUM(R303:S303)</f>
        <v>1086710</v>
      </c>
      <c r="U303" s="221">
        <f>SUM(U304:U307)</f>
        <v>1086710</v>
      </c>
      <c r="V303" s="221">
        <f>SUM(V304:V307)</f>
        <v>0</v>
      </c>
      <c r="W303" s="221">
        <f>SUM(U303:V303)</f>
        <v>1086710</v>
      </c>
      <c r="X303" s="221">
        <f>SUM(X304:X307)</f>
        <v>1086710</v>
      </c>
      <c r="Y303" s="221">
        <f>SUM(Y304:Y307)</f>
        <v>0</v>
      </c>
      <c r="Z303" s="221">
        <f>SUM(X303:Y303)</f>
        <v>1086710</v>
      </c>
      <c r="AA303" s="221">
        <f>SUM(AA304:AA307)</f>
        <v>1086710</v>
      </c>
      <c r="AB303" s="221">
        <f>SUM(AB304:AB307)</f>
        <v>0</v>
      </c>
      <c r="AC303" s="221">
        <f>SUM(AA303:AB303)</f>
        <v>1086710</v>
      </c>
      <c r="AD303" s="221">
        <f t="shared" si="515"/>
        <v>17387360</v>
      </c>
      <c r="AE303" s="221">
        <f t="shared" si="515"/>
        <v>0</v>
      </c>
      <c r="AF303" s="221">
        <f>SUM(AD303:AE303)</f>
        <v>17387360</v>
      </c>
      <c r="AG303" s="221">
        <f>SUM(AG304:AG307)</f>
        <v>13040520</v>
      </c>
      <c r="AH303" s="221">
        <f>SUM(AH304:AH307)</f>
        <v>0</v>
      </c>
      <c r="AI303" s="221">
        <f>SUM(AG303:AH303)</f>
        <v>13040520</v>
      </c>
      <c r="AJ303" s="221">
        <f>SUM(AJ304:AJ307)</f>
        <v>0</v>
      </c>
      <c r="AK303" s="221">
        <f>SUM(AK304:AK307)</f>
        <v>0</v>
      </c>
      <c r="AL303" s="212"/>
      <c r="AM303" s="221">
        <f>AJ303+AK303</f>
        <v>0</v>
      </c>
      <c r="AN303" s="221">
        <f>SUM(AN304:AN307)</f>
        <v>4346840</v>
      </c>
      <c r="AO303" s="221">
        <f>SUM(AO304:AO307)</f>
        <v>0</v>
      </c>
      <c r="AP303" s="221">
        <f>SUM(AN303:AO303)</f>
        <v>4346840</v>
      </c>
      <c r="AQ303" s="211">
        <f t="shared" si="508"/>
        <v>0</v>
      </c>
      <c r="AR303" s="47"/>
    </row>
    <row r="304" spans="2:44" ht="86.25" customHeight="1">
      <c r="B304" s="52" t="s">
        <v>220</v>
      </c>
      <c r="C304" s="327" t="s">
        <v>726</v>
      </c>
      <c r="D304" s="99"/>
      <c r="E304" s="39" t="s">
        <v>370</v>
      </c>
      <c r="F304" s="39" t="s">
        <v>597</v>
      </c>
      <c r="G304" s="345">
        <v>2025</v>
      </c>
      <c r="H304" s="345">
        <v>2025</v>
      </c>
      <c r="I304" s="117">
        <v>0</v>
      </c>
      <c r="J304" s="118">
        <v>0</v>
      </c>
      <c r="K304" s="295">
        <f t="shared" ref="K304:K307" si="545">SUM(I304:J304)</f>
        <v>0</v>
      </c>
      <c r="L304" s="117">
        <v>3260130</v>
      </c>
      <c r="M304" s="118">
        <v>0</v>
      </c>
      <c r="N304" s="295">
        <f t="shared" ref="N304:N307" si="546">SUM(L304:M304)</f>
        <v>3260130</v>
      </c>
      <c r="O304" s="117">
        <v>0</v>
      </c>
      <c r="P304" s="118">
        <v>0</v>
      </c>
      <c r="Q304" s="295">
        <f t="shared" ref="Q304:Q307" si="547">SUM(O304:P304)</f>
        <v>0</v>
      </c>
      <c r="R304" s="117">
        <v>0</v>
      </c>
      <c r="S304" s="118">
        <v>0</v>
      </c>
      <c r="T304" s="295">
        <f t="shared" ref="T304:T307" si="548">SUM(R304:S304)</f>
        <v>0</v>
      </c>
      <c r="U304" s="117">
        <v>0</v>
      </c>
      <c r="V304" s="118">
        <v>0</v>
      </c>
      <c r="W304" s="295">
        <f t="shared" ref="W304:W307" si="549">SUM(U304:V304)</f>
        <v>0</v>
      </c>
      <c r="X304" s="118">
        <v>0</v>
      </c>
      <c r="Y304" s="118">
        <v>0</v>
      </c>
      <c r="Z304" s="295">
        <f t="shared" ref="Z304:Z307" si="550">SUM(X304:Y304)</f>
        <v>0</v>
      </c>
      <c r="AA304" s="118">
        <v>0</v>
      </c>
      <c r="AB304" s="118">
        <v>0</v>
      </c>
      <c r="AC304" s="295">
        <f t="shared" ref="AC304:AC307" si="551">SUM(AA304:AB304)</f>
        <v>0</v>
      </c>
      <c r="AD304" s="117">
        <f t="shared" ref="AD304:AE325" si="552">I304+L304+O304+R304+U304+X304+AA304</f>
        <v>3260130</v>
      </c>
      <c r="AE304" s="117">
        <f t="shared" si="552"/>
        <v>0</v>
      </c>
      <c r="AF304" s="295">
        <f t="shared" ref="AF304:AF307" si="553">SUM(AD304:AE304)</f>
        <v>3260130</v>
      </c>
      <c r="AG304" s="117">
        <v>3260130</v>
      </c>
      <c r="AH304" s="118">
        <v>0</v>
      </c>
      <c r="AI304" s="295">
        <f t="shared" ref="AI304:AI307" si="554">SUM(AG304:AH304)</f>
        <v>3260130</v>
      </c>
      <c r="AJ304" s="117">
        <v>0</v>
      </c>
      <c r="AK304" s="118">
        <v>0</v>
      </c>
      <c r="AL304" s="105"/>
      <c r="AM304" s="295">
        <f t="shared" ref="AM304:AM307" si="555">AJ304+AK304</f>
        <v>0</v>
      </c>
      <c r="AN304" s="117">
        <v>0</v>
      </c>
      <c r="AO304" s="118">
        <v>0</v>
      </c>
      <c r="AP304" s="295">
        <f t="shared" ref="AP304:AP307" si="556">SUM(AN304:AO304)</f>
        <v>0</v>
      </c>
      <c r="AQ304" s="170">
        <f t="shared" si="508"/>
        <v>0</v>
      </c>
      <c r="AR304" s="47"/>
    </row>
    <row r="305" spans="2:44" ht="39.6" customHeight="1">
      <c r="B305" s="52" t="s">
        <v>221</v>
      </c>
      <c r="C305" s="327" t="s">
        <v>727</v>
      </c>
      <c r="D305" s="99"/>
      <c r="E305" s="39" t="s">
        <v>370</v>
      </c>
      <c r="F305" s="39" t="s">
        <v>597</v>
      </c>
      <c r="G305" s="345">
        <v>2025</v>
      </c>
      <c r="H305" s="345">
        <v>2025</v>
      </c>
      <c r="I305" s="117">
        <v>0</v>
      </c>
      <c r="J305" s="118">
        <v>0</v>
      </c>
      <c r="K305" s="295">
        <f t="shared" si="545"/>
        <v>0</v>
      </c>
      <c r="L305" s="117">
        <v>2173420</v>
      </c>
      <c r="M305" s="118">
        <v>0</v>
      </c>
      <c r="N305" s="295">
        <f t="shared" si="546"/>
        <v>2173420</v>
      </c>
      <c r="O305" s="117">
        <v>0</v>
      </c>
      <c r="P305" s="118">
        <v>0</v>
      </c>
      <c r="Q305" s="295">
        <f t="shared" si="547"/>
        <v>0</v>
      </c>
      <c r="R305" s="117">
        <v>0</v>
      </c>
      <c r="S305" s="118">
        <v>0</v>
      </c>
      <c r="T305" s="295">
        <f t="shared" si="548"/>
        <v>0</v>
      </c>
      <c r="U305" s="117">
        <v>0</v>
      </c>
      <c r="V305" s="118">
        <v>0</v>
      </c>
      <c r="W305" s="295">
        <f t="shared" si="549"/>
        <v>0</v>
      </c>
      <c r="X305" s="118">
        <v>0</v>
      </c>
      <c r="Y305" s="118">
        <v>0</v>
      </c>
      <c r="Z305" s="295">
        <f t="shared" si="550"/>
        <v>0</v>
      </c>
      <c r="AA305" s="118">
        <v>0</v>
      </c>
      <c r="AB305" s="118">
        <v>0</v>
      </c>
      <c r="AC305" s="295">
        <f t="shared" si="551"/>
        <v>0</v>
      </c>
      <c r="AD305" s="117">
        <f t="shared" si="552"/>
        <v>2173420</v>
      </c>
      <c r="AE305" s="117">
        <f t="shared" si="552"/>
        <v>0</v>
      </c>
      <c r="AF305" s="295">
        <f t="shared" si="553"/>
        <v>2173420</v>
      </c>
      <c r="AG305" s="117">
        <v>2173420</v>
      </c>
      <c r="AH305" s="118">
        <v>0</v>
      </c>
      <c r="AI305" s="295">
        <f t="shared" si="554"/>
        <v>2173420</v>
      </c>
      <c r="AJ305" s="117">
        <v>0</v>
      </c>
      <c r="AK305" s="118">
        <v>0</v>
      </c>
      <c r="AL305" s="105"/>
      <c r="AM305" s="295">
        <f t="shared" si="555"/>
        <v>0</v>
      </c>
      <c r="AN305" s="117">
        <v>0</v>
      </c>
      <c r="AO305" s="118">
        <v>0</v>
      </c>
      <c r="AP305" s="295">
        <f t="shared" si="556"/>
        <v>0</v>
      </c>
      <c r="AQ305" s="170">
        <f t="shared" si="508"/>
        <v>0</v>
      </c>
      <c r="AR305" s="47"/>
    </row>
    <row r="306" spans="2:44" ht="52.15" customHeight="1">
      <c r="B306" s="52" t="s">
        <v>222</v>
      </c>
      <c r="C306" s="327" t="s">
        <v>728</v>
      </c>
      <c r="D306" s="99"/>
      <c r="E306" s="39" t="s">
        <v>370</v>
      </c>
      <c r="F306" s="39" t="s">
        <v>597</v>
      </c>
      <c r="G306" s="345">
        <v>2026</v>
      </c>
      <c r="H306" s="345">
        <v>2026</v>
      </c>
      <c r="I306" s="117">
        <v>0</v>
      </c>
      <c r="J306" s="118">
        <v>0</v>
      </c>
      <c r="K306" s="295">
        <f t="shared" si="545"/>
        <v>0</v>
      </c>
      <c r="L306" s="117">
        <v>0</v>
      </c>
      <c r="M306" s="118">
        <v>0</v>
      </c>
      <c r="N306" s="295">
        <f t="shared" si="546"/>
        <v>0</v>
      </c>
      <c r="O306" s="117">
        <f>2173420*2</f>
        <v>4346840</v>
      </c>
      <c r="P306" s="118">
        <v>0</v>
      </c>
      <c r="Q306" s="295">
        <f t="shared" si="547"/>
        <v>4346840</v>
      </c>
      <c r="R306" s="117">
        <v>0</v>
      </c>
      <c r="S306" s="118">
        <v>0</v>
      </c>
      <c r="T306" s="295">
        <f t="shared" si="548"/>
        <v>0</v>
      </c>
      <c r="U306" s="117">
        <v>0</v>
      </c>
      <c r="V306" s="118">
        <v>0</v>
      </c>
      <c r="W306" s="295">
        <f t="shared" si="549"/>
        <v>0</v>
      </c>
      <c r="X306" s="118">
        <v>0</v>
      </c>
      <c r="Y306" s="118">
        <v>0</v>
      </c>
      <c r="Z306" s="295">
        <f t="shared" si="550"/>
        <v>0</v>
      </c>
      <c r="AA306" s="118">
        <v>0</v>
      </c>
      <c r="AB306" s="118">
        <v>0</v>
      </c>
      <c r="AC306" s="295">
        <f t="shared" si="551"/>
        <v>0</v>
      </c>
      <c r="AD306" s="117">
        <f t="shared" si="552"/>
        <v>4346840</v>
      </c>
      <c r="AE306" s="117">
        <f t="shared" si="552"/>
        <v>0</v>
      </c>
      <c r="AF306" s="295">
        <f t="shared" si="553"/>
        <v>4346840</v>
      </c>
      <c r="AG306" s="117">
        <v>4346840</v>
      </c>
      <c r="AH306" s="118">
        <v>0</v>
      </c>
      <c r="AI306" s="295">
        <f t="shared" si="554"/>
        <v>4346840</v>
      </c>
      <c r="AJ306" s="117">
        <v>0</v>
      </c>
      <c r="AK306" s="118">
        <v>0</v>
      </c>
      <c r="AL306" s="105"/>
      <c r="AM306" s="295">
        <f t="shared" si="555"/>
        <v>0</v>
      </c>
      <c r="AN306" s="117">
        <v>0</v>
      </c>
      <c r="AO306" s="118">
        <v>0</v>
      </c>
      <c r="AP306" s="295">
        <f t="shared" si="556"/>
        <v>0</v>
      </c>
      <c r="AQ306" s="170">
        <f t="shared" si="508"/>
        <v>0</v>
      </c>
      <c r="AR306" s="47"/>
    </row>
    <row r="307" spans="2:44" ht="45.6" customHeight="1">
      <c r="B307" s="52" t="s">
        <v>724</v>
      </c>
      <c r="C307" s="327" t="s">
        <v>729</v>
      </c>
      <c r="D307" s="99"/>
      <c r="E307" s="39" t="s">
        <v>370</v>
      </c>
      <c r="F307" s="39" t="s">
        <v>597</v>
      </c>
      <c r="G307" s="345">
        <v>2024</v>
      </c>
      <c r="H307" s="345">
        <v>2030</v>
      </c>
      <c r="I307" s="117">
        <v>1086710</v>
      </c>
      <c r="J307" s="117">
        <v>0</v>
      </c>
      <c r="K307" s="295">
        <f t="shared" si="545"/>
        <v>1086710</v>
      </c>
      <c r="L307" s="117">
        <v>1086710</v>
      </c>
      <c r="M307" s="117">
        <v>0</v>
      </c>
      <c r="N307" s="295">
        <f t="shared" si="546"/>
        <v>1086710</v>
      </c>
      <c r="O307" s="117">
        <v>1086710</v>
      </c>
      <c r="P307" s="117">
        <v>0</v>
      </c>
      <c r="Q307" s="295">
        <f t="shared" si="547"/>
        <v>1086710</v>
      </c>
      <c r="R307" s="117">
        <v>1086710</v>
      </c>
      <c r="S307" s="117">
        <v>0</v>
      </c>
      <c r="T307" s="295">
        <f t="shared" si="548"/>
        <v>1086710</v>
      </c>
      <c r="U307" s="117">
        <v>1086710</v>
      </c>
      <c r="V307" s="117">
        <v>0</v>
      </c>
      <c r="W307" s="295">
        <f t="shared" si="549"/>
        <v>1086710</v>
      </c>
      <c r="X307" s="117">
        <v>1086710</v>
      </c>
      <c r="Y307" s="117">
        <v>0</v>
      </c>
      <c r="Z307" s="295">
        <f t="shared" si="550"/>
        <v>1086710</v>
      </c>
      <c r="AA307" s="117">
        <v>1086710</v>
      </c>
      <c r="AB307" s="117">
        <v>0</v>
      </c>
      <c r="AC307" s="295">
        <f t="shared" si="551"/>
        <v>1086710</v>
      </c>
      <c r="AD307" s="117">
        <f t="shared" si="552"/>
        <v>7606970</v>
      </c>
      <c r="AE307" s="117">
        <f t="shared" si="552"/>
        <v>0</v>
      </c>
      <c r="AF307" s="295">
        <f t="shared" si="553"/>
        <v>7606970</v>
      </c>
      <c r="AG307" s="117">
        <f>1086710*3</f>
        <v>3260130</v>
      </c>
      <c r="AH307" s="118">
        <v>0</v>
      </c>
      <c r="AI307" s="295">
        <f t="shared" si="554"/>
        <v>3260130</v>
      </c>
      <c r="AJ307" s="117">
        <v>0</v>
      </c>
      <c r="AK307" s="118">
        <v>0</v>
      </c>
      <c r="AL307" s="105"/>
      <c r="AM307" s="295">
        <f t="shared" si="555"/>
        <v>0</v>
      </c>
      <c r="AN307" s="117">
        <f>1086710*4</f>
        <v>4346840</v>
      </c>
      <c r="AO307" s="118">
        <v>0</v>
      </c>
      <c r="AP307" s="295">
        <f t="shared" si="556"/>
        <v>4346840</v>
      </c>
      <c r="AQ307" s="170">
        <f t="shared" si="508"/>
        <v>0</v>
      </c>
      <c r="AR307" s="47"/>
    </row>
    <row r="308" spans="2:44" ht="86.25" customHeight="1">
      <c r="B308" s="213" t="s">
        <v>217</v>
      </c>
      <c r="C308" s="258" t="s">
        <v>736</v>
      </c>
      <c r="D308" s="209"/>
      <c r="E308" s="186"/>
      <c r="F308" s="186"/>
      <c r="G308" s="533">
        <v>2024</v>
      </c>
      <c r="H308" s="185">
        <v>2030</v>
      </c>
      <c r="I308" s="221">
        <f>SUM(I309:I319)</f>
        <v>10670325</v>
      </c>
      <c r="J308" s="221">
        <f>SUM(J309:J319)</f>
        <v>0</v>
      </c>
      <c r="K308" s="221">
        <f>SUM(I308:J308)</f>
        <v>10670325</v>
      </c>
      <c r="L308" s="221">
        <f>SUM(L309:L319)</f>
        <v>36300390</v>
      </c>
      <c r="M308" s="221">
        <f>SUM(M309:M319)</f>
        <v>0</v>
      </c>
      <c r="N308" s="221">
        <f>SUM(L308:M308)</f>
        <v>36300390</v>
      </c>
      <c r="O308" s="221">
        <f>SUM(O309:O319)</f>
        <v>7346840</v>
      </c>
      <c r="P308" s="221">
        <f>SUM(P309:P319)</f>
        <v>0</v>
      </c>
      <c r="Q308" s="221">
        <f>SUM(O308:P308)</f>
        <v>7346840</v>
      </c>
      <c r="R308" s="221">
        <f>SUM(R309:R319)</f>
        <v>6866840</v>
      </c>
      <c r="S308" s="221">
        <f>SUM(S309:S319)</f>
        <v>0</v>
      </c>
      <c r="T308" s="221">
        <f>SUM(R308:S308)</f>
        <v>6866840</v>
      </c>
      <c r="U308" s="221">
        <f>SUM(U309:U319)</f>
        <v>6866840</v>
      </c>
      <c r="V308" s="221">
        <f>SUM(V309:V319)</f>
        <v>0</v>
      </c>
      <c r="W308" s="221">
        <f>SUM(U308:V308)</f>
        <v>6866840</v>
      </c>
      <c r="X308" s="221">
        <f>SUM(X309:X319)</f>
        <v>6866840</v>
      </c>
      <c r="Y308" s="221">
        <f>SUM(Y309:Y319)</f>
        <v>0</v>
      </c>
      <c r="Z308" s="221">
        <f>SUM(X308:Y308)</f>
        <v>6866840</v>
      </c>
      <c r="AA308" s="221">
        <f>SUM(AA309:AA319)</f>
        <v>6866840</v>
      </c>
      <c r="AB308" s="221">
        <f>SUM(AB309:AB319)</f>
        <v>0</v>
      </c>
      <c r="AC308" s="221">
        <f>SUM(AA308:AB308)</f>
        <v>6866840</v>
      </c>
      <c r="AD308" s="221">
        <f t="shared" si="552"/>
        <v>81784915</v>
      </c>
      <c r="AE308" s="221">
        <f t="shared" si="552"/>
        <v>0</v>
      </c>
      <c r="AF308" s="221">
        <f>SUM(AD308:AE308)</f>
        <v>81784915</v>
      </c>
      <c r="AG308" s="221">
        <f>SUM(AG309:AG319)</f>
        <v>54317555</v>
      </c>
      <c r="AH308" s="221">
        <f>SUM(AH309:AH319)</f>
        <v>0</v>
      </c>
      <c r="AI308" s="221">
        <f>SUM(AG308:AH308)</f>
        <v>54317555</v>
      </c>
      <c r="AJ308" s="221">
        <f>SUM(AJ309:AJ319)</f>
        <v>0</v>
      </c>
      <c r="AK308" s="221">
        <f>SUM(AK309:AK319)</f>
        <v>0</v>
      </c>
      <c r="AL308" s="212"/>
      <c r="AM308" s="221">
        <f>AJ308+AK308</f>
        <v>0</v>
      </c>
      <c r="AN308" s="221">
        <f>SUM(AN309:AN319)</f>
        <v>27467360</v>
      </c>
      <c r="AO308" s="221">
        <f>SUM(AO309:AO319)</f>
        <v>0</v>
      </c>
      <c r="AP308" s="221">
        <f>SUM(AN308:AO308)</f>
        <v>27467360</v>
      </c>
      <c r="AQ308" s="211">
        <f t="shared" si="508"/>
        <v>0</v>
      </c>
      <c r="AR308" s="47"/>
    </row>
    <row r="309" spans="2:44" ht="27.6" customHeight="1">
      <c r="B309" s="52" t="s">
        <v>223</v>
      </c>
      <c r="C309" s="353" t="s">
        <v>737</v>
      </c>
      <c r="D309" s="99"/>
      <c r="E309" s="39" t="s">
        <v>341</v>
      </c>
      <c r="F309" s="39"/>
      <c r="G309" s="348">
        <v>2025</v>
      </c>
      <c r="H309" s="345">
        <v>2025</v>
      </c>
      <c r="I309" s="117">
        <v>0</v>
      </c>
      <c r="J309" s="118">
        <v>0</v>
      </c>
      <c r="K309" s="295">
        <f t="shared" ref="K309:K319" si="557">SUM(I309:J309)</f>
        <v>0</v>
      </c>
      <c r="L309" s="117">
        <f>8000000*3</f>
        <v>24000000</v>
      </c>
      <c r="M309" s="118">
        <v>0</v>
      </c>
      <c r="N309" s="295">
        <f t="shared" ref="N309:N319" si="558">SUM(L309:M309)</f>
        <v>24000000</v>
      </c>
      <c r="O309" s="117">
        <v>0</v>
      </c>
      <c r="P309" s="118">
        <v>0</v>
      </c>
      <c r="Q309" s="295">
        <f t="shared" ref="Q309:Q319" si="559">SUM(O309:P309)</f>
        <v>0</v>
      </c>
      <c r="R309" s="117">
        <v>0</v>
      </c>
      <c r="S309" s="118">
        <v>0</v>
      </c>
      <c r="T309" s="295">
        <f t="shared" ref="T309:T319" si="560">SUM(R309:S309)</f>
        <v>0</v>
      </c>
      <c r="U309" s="117">
        <v>0</v>
      </c>
      <c r="V309" s="118">
        <v>0</v>
      </c>
      <c r="W309" s="295">
        <f t="shared" ref="W309:W319" si="561">SUM(U309:V309)</f>
        <v>0</v>
      </c>
      <c r="X309" s="118">
        <v>0</v>
      </c>
      <c r="Y309" s="118">
        <v>0</v>
      </c>
      <c r="Z309" s="295">
        <f t="shared" ref="Z309:Z319" si="562">SUM(X309:Y309)</f>
        <v>0</v>
      </c>
      <c r="AA309" s="118">
        <v>0</v>
      </c>
      <c r="AB309" s="118">
        <v>0</v>
      </c>
      <c r="AC309" s="295">
        <f t="shared" ref="AC309:AC319" si="563">SUM(AA309:AB309)</f>
        <v>0</v>
      </c>
      <c r="AD309" s="117">
        <f t="shared" si="552"/>
        <v>24000000</v>
      </c>
      <c r="AE309" s="117">
        <f t="shared" si="552"/>
        <v>0</v>
      </c>
      <c r="AF309" s="295">
        <f t="shared" ref="AF309:AF319" si="564">SUM(AD309:AE309)</f>
        <v>24000000</v>
      </c>
      <c r="AG309" s="117">
        <v>24000000</v>
      </c>
      <c r="AH309" s="118">
        <v>0</v>
      </c>
      <c r="AI309" s="295">
        <f t="shared" ref="AI309:AI319" si="565">SUM(AG309:AH309)</f>
        <v>24000000</v>
      </c>
      <c r="AJ309" s="117">
        <v>0</v>
      </c>
      <c r="AK309" s="118">
        <v>0</v>
      </c>
      <c r="AL309" s="105"/>
      <c r="AM309" s="295">
        <f t="shared" ref="AM309:AM319" si="566">AJ309+AK309</f>
        <v>0</v>
      </c>
      <c r="AN309" s="117">
        <v>0</v>
      </c>
      <c r="AO309" s="118">
        <v>0</v>
      </c>
      <c r="AP309" s="295">
        <f t="shared" ref="AP309:AP319" si="567">SUM(AN309:AO309)</f>
        <v>0</v>
      </c>
      <c r="AQ309" s="170">
        <f t="shared" si="508"/>
        <v>0</v>
      </c>
      <c r="AR309" s="47"/>
    </row>
    <row r="310" spans="2:44" ht="47.45" customHeight="1">
      <c r="B310" s="52" t="s">
        <v>224</v>
      </c>
      <c r="C310" s="376" t="s">
        <v>738</v>
      </c>
      <c r="D310" s="99"/>
      <c r="E310" s="39" t="s">
        <v>342</v>
      </c>
      <c r="F310" s="39" t="s">
        <v>69</v>
      </c>
      <c r="G310" s="348">
        <v>2024</v>
      </c>
      <c r="H310" s="345">
        <v>2024</v>
      </c>
      <c r="I310" s="117">
        <v>3260130</v>
      </c>
      <c r="J310" s="118">
        <v>0</v>
      </c>
      <c r="K310" s="295">
        <f t="shared" si="557"/>
        <v>3260130</v>
      </c>
      <c r="L310" s="117">
        <v>0</v>
      </c>
      <c r="M310" s="118">
        <v>0</v>
      </c>
      <c r="N310" s="295">
        <f t="shared" si="558"/>
        <v>0</v>
      </c>
      <c r="O310" s="117">
        <v>0</v>
      </c>
      <c r="P310" s="118">
        <v>0</v>
      </c>
      <c r="Q310" s="295">
        <f t="shared" si="559"/>
        <v>0</v>
      </c>
      <c r="R310" s="117">
        <v>0</v>
      </c>
      <c r="S310" s="118">
        <v>0</v>
      </c>
      <c r="T310" s="295">
        <f t="shared" si="560"/>
        <v>0</v>
      </c>
      <c r="U310" s="117">
        <v>0</v>
      </c>
      <c r="V310" s="118">
        <v>0</v>
      </c>
      <c r="W310" s="295">
        <f t="shared" si="561"/>
        <v>0</v>
      </c>
      <c r="X310" s="118">
        <v>0</v>
      </c>
      <c r="Y310" s="118">
        <v>0</v>
      </c>
      <c r="Z310" s="295">
        <f t="shared" si="562"/>
        <v>0</v>
      </c>
      <c r="AA310" s="118">
        <v>0</v>
      </c>
      <c r="AB310" s="118">
        <v>0</v>
      </c>
      <c r="AC310" s="295">
        <f t="shared" si="563"/>
        <v>0</v>
      </c>
      <c r="AD310" s="117">
        <f t="shared" si="552"/>
        <v>3260130</v>
      </c>
      <c r="AE310" s="117">
        <f t="shared" si="552"/>
        <v>0</v>
      </c>
      <c r="AF310" s="295">
        <f t="shared" si="564"/>
        <v>3260130</v>
      </c>
      <c r="AG310" s="117">
        <v>3260130</v>
      </c>
      <c r="AH310" s="118">
        <v>0</v>
      </c>
      <c r="AI310" s="295">
        <f t="shared" si="565"/>
        <v>3260130</v>
      </c>
      <c r="AJ310" s="117">
        <v>0</v>
      </c>
      <c r="AK310" s="118">
        <v>0</v>
      </c>
      <c r="AL310" s="105"/>
      <c r="AM310" s="295">
        <f t="shared" si="566"/>
        <v>0</v>
      </c>
      <c r="AN310" s="117">
        <v>0</v>
      </c>
      <c r="AO310" s="118">
        <v>0</v>
      </c>
      <c r="AP310" s="295">
        <f t="shared" si="567"/>
        <v>0</v>
      </c>
      <c r="AQ310" s="170">
        <f t="shared" si="508"/>
        <v>0</v>
      </c>
      <c r="AR310" s="47"/>
    </row>
    <row r="311" spans="2:44" ht="33.6" customHeight="1">
      <c r="B311" s="52" t="s">
        <v>225</v>
      </c>
      <c r="C311" s="376" t="s">
        <v>739</v>
      </c>
      <c r="D311" s="99"/>
      <c r="E311" s="39" t="s">
        <v>69</v>
      </c>
      <c r="F311" s="39" t="s">
        <v>342</v>
      </c>
      <c r="G311" s="348">
        <v>2024</v>
      </c>
      <c r="H311" s="345">
        <v>2030</v>
      </c>
      <c r="I311" s="117">
        <v>1086710</v>
      </c>
      <c r="J311" s="118">
        <v>0</v>
      </c>
      <c r="K311" s="295">
        <f t="shared" si="557"/>
        <v>1086710</v>
      </c>
      <c r="L311" s="117">
        <v>1086710</v>
      </c>
      <c r="M311" s="118">
        <v>0</v>
      </c>
      <c r="N311" s="295">
        <f t="shared" si="558"/>
        <v>1086710</v>
      </c>
      <c r="O311" s="117">
        <v>1086710</v>
      </c>
      <c r="P311" s="118">
        <v>0</v>
      </c>
      <c r="Q311" s="295">
        <f t="shared" si="559"/>
        <v>1086710</v>
      </c>
      <c r="R311" s="117">
        <v>1086710</v>
      </c>
      <c r="S311" s="118">
        <v>0</v>
      </c>
      <c r="T311" s="295">
        <f t="shared" si="560"/>
        <v>1086710</v>
      </c>
      <c r="U311" s="117">
        <v>1086710</v>
      </c>
      <c r="V311" s="118">
        <v>0</v>
      </c>
      <c r="W311" s="295">
        <f t="shared" si="561"/>
        <v>1086710</v>
      </c>
      <c r="X311" s="117">
        <v>1086710</v>
      </c>
      <c r="Y311" s="118">
        <v>0</v>
      </c>
      <c r="Z311" s="295">
        <f t="shared" si="562"/>
        <v>1086710</v>
      </c>
      <c r="AA311" s="117">
        <v>1086710</v>
      </c>
      <c r="AB311" s="118">
        <v>0</v>
      </c>
      <c r="AC311" s="295">
        <f t="shared" si="563"/>
        <v>1086710</v>
      </c>
      <c r="AD311" s="117">
        <f t="shared" si="552"/>
        <v>7606970</v>
      </c>
      <c r="AE311" s="117">
        <f t="shared" si="552"/>
        <v>0</v>
      </c>
      <c r="AF311" s="295">
        <f t="shared" si="564"/>
        <v>7606970</v>
      </c>
      <c r="AG311" s="117">
        <f>1086710*3</f>
        <v>3260130</v>
      </c>
      <c r="AH311" s="118">
        <v>0</v>
      </c>
      <c r="AI311" s="295">
        <f t="shared" si="565"/>
        <v>3260130</v>
      </c>
      <c r="AJ311" s="117">
        <v>0</v>
      </c>
      <c r="AK311" s="118">
        <v>0</v>
      </c>
      <c r="AL311" s="105"/>
      <c r="AM311" s="295">
        <f t="shared" si="566"/>
        <v>0</v>
      </c>
      <c r="AN311" s="117">
        <f>1086710*4</f>
        <v>4346840</v>
      </c>
      <c r="AO311" s="118">
        <v>0</v>
      </c>
      <c r="AP311" s="295">
        <f t="shared" si="567"/>
        <v>4346840</v>
      </c>
      <c r="AQ311" s="170">
        <f t="shared" si="508"/>
        <v>0</v>
      </c>
      <c r="AR311" s="47"/>
    </row>
    <row r="312" spans="2:44" ht="36" customHeight="1">
      <c r="B312" s="52" t="s">
        <v>226</v>
      </c>
      <c r="C312" s="376" t="s">
        <v>740</v>
      </c>
      <c r="D312" s="99"/>
      <c r="E312" s="39" t="s">
        <v>342</v>
      </c>
      <c r="F312" s="39" t="s">
        <v>69</v>
      </c>
      <c r="G312" s="348">
        <v>2024</v>
      </c>
      <c r="H312" s="345">
        <v>2030</v>
      </c>
      <c r="I312" s="117">
        <v>2173420</v>
      </c>
      <c r="J312" s="118">
        <v>0</v>
      </c>
      <c r="K312" s="295">
        <f t="shared" si="557"/>
        <v>2173420</v>
      </c>
      <c r="L312" s="117">
        <v>2173420</v>
      </c>
      <c r="M312" s="118">
        <v>0</v>
      </c>
      <c r="N312" s="295">
        <f t="shared" si="558"/>
        <v>2173420</v>
      </c>
      <c r="O312" s="117">
        <v>2173420</v>
      </c>
      <c r="P312" s="118">
        <v>0</v>
      </c>
      <c r="Q312" s="295">
        <f t="shared" si="559"/>
        <v>2173420</v>
      </c>
      <c r="R312" s="117">
        <v>2173420</v>
      </c>
      <c r="S312" s="118">
        <v>0</v>
      </c>
      <c r="T312" s="295">
        <f t="shared" si="560"/>
        <v>2173420</v>
      </c>
      <c r="U312" s="117">
        <v>2173420</v>
      </c>
      <c r="V312" s="118">
        <v>0</v>
      </c>
      <c r="W312" s="295">
        <f t="shared" si="561"/>
        <v>2173420</v>
      </c>
      <c r="X312" s="117">
        <v>2173420</v>
      </c>
      <c r="Y312" s="118">
        <v>0</v>
      </c>
      <c r="Z312" s="295">
        <f t="shared" si="562"/>
        <v>2173420</v>
      </c>
      <c r="AA312" s="117">
        <v>2173420</v>
      </c>
      <c r="AB312" s="118">
        <v>0</v>
      </c>
      <c r="AC312" s="295">
        <f t="shared" si="563"/>
        <v>2173420</v>
      </c>
      <c r="AD312" s="117">
        <f t="shared" si="552"/>
        <v>15213940</v>
      </c>
      <c r="AE312" s="117">
        <f t="shared" si="552"/>
        <v>0</v>
      </c>
      <c r="AF312" s="295">
        <f t="shared" si="564"/>
        <v>15213940</v>
      </c>
      <c r="AG312" s="117">
        <f>2173420*3</f>
        <v>6520260</v>
      </c>
      <c r="AH312" s="118">
        <v>0</v>
      </c>
      <c r="AI312" s="295">
        <f t="shared" si="565"/>
        <v>6520260</v>
      </c>
      <c r="AJ312" s="117">
        <v>0</v>
      </c>
      <c r="AK312" s="118">
        <v>0</v>
      </c>
      <c r="AL312" s="105"/>
      <c r="AM312" s="295">
        <f t="shared" si="566"/>
        <v>0</v>
      </c>
      <c r="AN312" s="117">
        <f>2173420*4</f>
        <v>8693680</v>
      </c>
      <c r="AO312" s="118">
        <v>0</v>
      </c>
      <c r="AP312" s="295">
        <f t="shared" si="567"/>
        <v>8693680</v>
      </c>
      <c r="AQ312" s="170">
        <f t="shared" si="508"/>
        <v>0</v>
      </c>
      <c r="AR312" s="47"/>
    </row>
    <row r="313" spans="2:44" ht="41.45" customHeight="1">
      <c r="B313" s="52" t="s">
        <v>227</v>
      </c>
      <c r="C313" s="376" t="s">
        <v>741</v>
      </c>
      <c r="D313" s="99"/>
      <c r="E313" s="39" t="s">
        <v>748</v>
      </c>
      <c r="F313" s="39"/>
      <c r="G313" s="348">
        <v>2024</v>
      </c>
      <c r="H313" s="345">
        <v>2030</v>
      </c>
      <c r="I313" s="117">
        <f>2*20*3*9000</f>
        <v>1080000</v>
      </c>
      <c r="J313" s="118">
        <v>0</v>
      </c>
      <c r="K313" s="295">
        <f t="shared" si="557"/>
        <v>1080000</v>
      </c>
      <c r="L313" s="117">
        <f>2*20*3*9000</f>
        <v>1080000</v>
      </c>
      <c r="M313" s="118">
        <v>0</v>
      </c>
      <c r="N313" s="295">
        <f t="shared" si="558"/>
        <v>1080000</v>
      </c>
      <c r="O313" s="117">
        <f>2*20*3*9000</f>
        <v>1080000</v>
      </c>
      <c r="P313" s="118">
        <v>0</v>
      </c>
      <c r="Q313" s="295">
        <f t="shared" si="559"/>
        <v>1080000</v>
      </c>
      <c r="R313" s="117">
        <f>2*20*3*9000</f>
        <v>1080000</v>
      </c>
      <c r="S313" s="118">
        <v>0</v>
      </c>
      <c r="T313" s="295">
        <f t="shared" si="560"/>
        <v>1080000</v>
      </c>
      <c r="U313" s="117">
        <f>2*20*3*9000</f>
        <v>1080000</v>
      </c>
      <c r="V313" s="118">
        <v>0</v>
      </c>
      <c r="W313" s="295">
        <f t="shared" si="561"/>
        <v>1080000</v>
      </c>
      <c r="X313" s="117">
        <f>2*20*3*9000</f>
        <v>1080000</v>
      </c>
      <c r="Y313" s="118">
        <v>0</v>
      </c>
      <c r="Z313" s="295">
        <f t="shared" si="562"/>
        <v>1080000</v>
      </c>
      <c r="AA313" s="117">
        <f>2*20*3*9000</f>
        <v>1080000</v>
      </c>
      <c r="AB313" s="118">
        <v>0</v>
      </c>
      <c r="AC313" s="295">
        <f t="shared" si="563"/>
        <v>1080000</v>
      </c>
      <c r="AD313" s="117">
        <f t="shared" si="552"/>
        <v>7560000</v>
      </c>
      <c r="AE313" s="117">
        <f t="shared" si="552"/>
        <v>0</v>
      </c>
      <c r="AF313" s="295">
        <f t="shared" si="564"/>
        <v>7560000</v>
      </c>
      <c r="AG313" s="117">
        <f>1080000*3</f>
        <v>3240000</v>
      </c>
      <c r="AH313" s="118">
        <v>0</v>
      </c>
      <c r="AI313" s="295">
        <f t="shared" si="565"/>
        <v>3240000</v>
      </c>
      <c r="AJ313" s="117">
        <v>0</v>
      </c>
      <c r="AK313" s="118">
        <v>0</v>
      </c>
      <c r="AL313" s="105"/>
      <c r="AM313" s="295">
        <f t="shared" si="566"/>
        <v>0</v>
      </c>
      <c r="AN313" s="117">
        <f>1080000*4</f>
        <v>4320000</v>
      </c>
      <c r="AO313" s="118">
        <v>0</v>
      </c>
      <c r="AP313" s="295">
        <f t="shared" si="567"/>
        <v>4320000</v>
      </c>
      <c r="AQ313" s="170">
        <f t="shared" si="508"/>
        <v>0</v>
      </c>
      <c r="AR313" s="47"/>
    </row>
    <row r="314" spans="2:44" ht="52.15" customHeight="1">
      <c r="B314" s="52" t="s">
        <v>730</v>
      </c>
      <c r="C314" s="376" t="s">
        <v>742</v>
      </c>
      <c r="D314" s="99"/>
      <c r="E314" s="39" t="s">
        <v>342</v>
      </c>
      <c r="F314" s="39" t="s">
        <v>69</v>
      </c>
      <c r="G314" s="348">
        <v>2024</v>
      </c>
      <c r="H314" s="345">
        <v>2030</v>
      </c>
      <c r="I314" s="117">
        <v>1086710</v>
      </c>
      <c r="J314" s="118">
        <v>0</v>
      </c>
      <c r="K314" s="295">
        <f t="shared" si="557"/>
        <v>1086710</v>
      </c>
      <c r="L314" s="117">
        <v>1086710</v>
      </c>
      <c r="M314" s="118">
        <v>0</v>
      </c>
      <c r="N314" s="295">
        <f t="shared" si="558"/>
        <v>1086710</v>
      </c>
      <c r="O314" s="117">
        <v>1086710</v>
      </c>
      <c r="P314" s="118">
        <v>0</v>
      </c>
      <c r="Q314" s="295">
        <f t="shared" si="559"/>
        <v>1086710</v>
      </c>
      <c r="R314" s="117">
        <v>1086710</v>
      </c>
      <c r="S314" s="118">
        <v>0</v>
      </c>
      <c r="T314" s="295">
        <f t="shared" si="560"/>
        <v>1086710</v>
      </c>
      <c r="U314" s="117">
        <v>1086710</v>
      </c>
      <c r="V314" s="118">
        <v>0</v>
      </c>
      <c r="W314" s="295">
        <f t="shared" si="561"/>
        <v>1086710</v>
      </c>
      <c r="X314" s="117">
        <v>1086710</v>
      </c>
      <c r="Y314" s="118">
        <v>0</v>
      </c>
      <c r="Z314" s="295">
        <f t="shared" si="562"/>
        <v>1086710</v>
      </c>
      <c r="AA314" s="117">
        <v>1086710</v>
      </c>
      <c r="AB314" s="118">
        <v>0</v>
      </c>
      <c r="AC314" s="295">
        <f t="shared" si="563"/>
        <v>1086710</v>
      </c>
      <c r="AD314" s="117">
        <f t="shared" si="552"/>
        <v>7606970</v>
      </c>
      <c r="AE314" s="117">
        <f t="shared" si="552"/>
        <v>0</v>
      </c>
      <c r="AF314" s="295">
        <f t="shared" si="564"/>
        <v>7606970</v>
      </c>
      <c r="AG314" s="117">
        <f>1086710*3</f>
        <v>3260130</v>
      </c>
      <c r="AH314" s="118">
        <v>0</v>
      </c>
      <c r="AI314" s="295">
        <f t="shared" si="565"/>
        <v>3260130</v>
      </c>
      <c r="AJ314" s="117">
        <v>0</v>
      </c>
      <c r="AK314" s="118">
        <v>0</v>
      </c>
      <c r="AL314" s="105"/>
      <c r="AM314" s="295">
        <f t="shared" si="566"/>
        <v>0</v>
      </c>
      <c r="AN314" s="117">
        <f>1086710*4</f>
        <v>4346840</v>
      </c>
      <c r="AO314" s="118">
        <v>0</v>
      </c>
      <c r="AP314" s="295">
        <f t="shared" si="567"/>
        <v>4346840</v>
      </c>
      <c r="AQ314" s="170">
        <f t="shared" si="508"/>
        <v>0</v>
      </c>
      <c r="AR314" s="47"/>
    </row>
    <row r="315" spans="2:44" ht="64.150000000000006" customHeight="1">
      <c r="B315" s="52" t="s">
        <v>731</v>
      </c>
      <c r="C315" s="353" t="s">
        <v>743</v>
      </c>
      <c r="D315" s="99"/>
      <c r="E315" s="39" t="s">
        <v>749</v>
      </c>
      <c r="F315" s="39"/>
      <c r="G315" s="348">
        <v>2024</v>
      </c>
      <c r="H315" s="345">
        <v>2024</v>
      </c>
      <c r="I315" s="117">
        <v>543355</v>
      </c>
      <c r="J315" s="118">
        <v>0</v>
      </c>
      <c r="K315" s="295">
        <f t="shared" si="557"/>
        <v>543355</v>
      </c>
      <c r="L315" s="117">
        <v>0</v>
      </c>
      <c r="M315" s="118">
        <v>0</v>
      </c>
      <c r="N315" s="295">
        <f t="shared" si="558"/>
        <v>0</v>
      </c>
      <c r="O315" s="117">
        <v>0</v>
      </c>
      <c r="P315" s="118">
        <v>0</v>
      </c>
      <c r="Q315" s="295">
        <f t="shared" si="559"/>
        <v>0</v>
      </c>
      <c r="R315" s="117">
        <v>0</v>
      </c>
      <c r="S315" s="118">
        <v>0</v>
      </c>
      <c r="T315" s="295">
        <f t="shared" si="560"/>
        <v>0</v>
      </c>
      <c r="U315" s="117">
        <v>0</v>
      </c>
      <c r="V315" s="118">
        <v>0</v>
      </c>
      <c r="W315" s="295">
        <f t="shared" si="561"/>
        <v>0</v>
      </c>
      <c r="X315" s="117">
        <v>0</v>
      </c>
      <c r="Y315" s="118">
        <v>0</v>
      </c>
      <c r="Z315" s="295">
        <f t="shared" si="562"/>
        <v>0</v>
      </c>
      <c r="AA315" s="117">
        <v>0</v>
      </c>
      <c r="AB315" s="118">
        <v>0</v>
      </c>
      <c r="AC315" s="295">
        <f t="shared" si="563"/>
        <v>0</v>
      </c>
      <c r="AD315" s="117">
        <f t="shared" si="552"/>
        <v>543355</v>
      </c>
      <c r="AE315" s="117">
        <f t="shared" si="552"/>
        <v>0</v>
      </c>
      <c r="AF315" s="295">
        <f t="shared" si="564"/>
        <v>543355</v>
      </c>
      <c r="AG315" s="117">
        <v>543355</v>
      </c>
      <c r="AH315" s="118">
        <v>0</v>
      </c>
      <c r="AI315" s="295">
        <f t="shared" si="565"/>
        <v>543355</v>
      </c>
      <c r="AJ315" s="117">
        <v>0</v>
      </c>
      <c r="AK315" s="118">
        <v>0</v>
      </c>
      <c r="AL315" s="105"/>
      <c r="AM315" s="295">
        <f t="shared" si="566"/>
        <v>0</v>
      </c>
      <c r="AN315" s="117">
        <v>0</v>
      </c>
      <c r="AO315" s="118">
        <v>0</v>
      </c>
      <c r="AP315" s="295">
        <f t="shared" si="567"/>
        <v>0</v>
      </c>
      <c r="AQ315" s="170">
        <f t="shared" si="508"/>
        <v>0</v>
      </c>
      <c r="AR315" s="47"/>
    </row>
    <row r="316" spans="2:44" ht="71.45" customHeight="1">
      <c r="B316" s="52" t="s">
        <v>732</v>
      </c>
      <c r="C316" s="353" t="s">
        <v>744</v>
      </c>
      <c r="D316" s="99"/>
      <c r="E316" s="39" t="s">
        <v>750</v>
      </c>
      <c r="F316" s="39"/>
      <c r="G316" s="348">
        <v>2025</v>
      </c>
      <c r="H316" s="345">
        <v>2025</v>
      </c>
      <c r="I316" s="117">
        <v>0</v>
      </c>
      <c r="J316" s="118">
        <v>0</v>
      </c>
      <c r="K316" s="295">
        <f t="shared" si="557"/>
        <v>0</v>
      </c>
      <c r="L316" s="117">
        <v>3260130</v>
      </c>
      <c r="M316" s="118">
        <v>0</v>
      </c>
      <c r="N316" s="295">
        <f t="shared" si="558"/>
        <v>3260130</v>
      </c>
      <c r="O316" s="117">
        <v>0</v>
      </c>
      <c r="P316" s="118">
        <v>0</v>
      </c>
      <c r="Q316" s="295">
        <f t="shared" si="559"/>
        <v>0</v>
      </c>
      <c r="R316" s="117">
        <v>0</v>
      </c>
      <c r="S316" s="118">
        <v>0</v>
      </c>
      <c r="T316" s="295">
        <f t="shared" si="560"/>
        <v>0</v>
      </c>
      <c r="U316" s="117">
        <v>0</v>
      </c>
      <c r="V316" s="118">
        <v>0</v>
      </c>
      <c r="W316" s="295">
        <f t="shared" si="561"/>
        <v>0</v>
      </c>
      <c r="X316" s="117">
        <v>0</v>
      </c>
      <c r="Y316" s="118">
        <v>0</v>
      </c>
      <c r="Z316" s="295">
        <f t="shared" si="562"/>
        <v>0</v>
      </c>
      <c r="AA316" s="117">
        <v>0</v>
      </c>
      <c r="AB316" s="118">
        <v>0</v>
      </c>
      <c r="AC316" s="295">
        <f t="shared" si="563"/>
        <v>0</v>
      </c>
      <c r="AD316" s="117">
        <f t="shared" si="552"/>
        <v>3260130</v>
      </c>
      <c r="AE316" s="117">
        <f t="shared" si="552"/>
        <v>0</v>
      </c>
      <c r="AF316" s="295">
        <f t="shared" si="564"/>
        <v>3260130</v>
      </c>
      <c r="AG316" s="117">
        <v>3260130</v>
      </c>
      <c r="AH316" s="118">
        <v>0</v>
      </c>
      <c r="AI316" s="295">
        <f t="shared" si="565"/>
        <v>3260130</v>
      </c>
      <c r="AJ316" s="117">
        <v>0</v>
      </c>
      <c r="AK316" s="118">
        <v>0</v>
      </c>
      <c r="AL316" s="105"/>
      <c r="AM316" s="295">
        <f t="shared" si="566"/>
        <v>0</v>
      </c>
      <c r="AN316" s="117">
        <v>0</v>
      </c>
      <c r="AO316" s="118">
        <v>0</v>
      </c>
      <c r="AP316" s="295">
        <f t="shared" si="567"/>
        <v>0</v>
      </c>
      <c r="AQ316" s="170">
        <f t="shared" si="508"/>
        <v>0</v>
      </c>
      <c r="AR316" s="47"/>
    </row>
    <row r="317" spans="2:44" ht="62.45" customHeight="1">
      <c r="B317" s="52" t="s">
        <v>733</v>
      </c>
      <c r="C317" s="353" t="s">
        <v>746</v>
      </c>
      <c r="D317" s="99"/>
      <c r="E317" s="39" t="s">
        <v>751</v>
      </c>
      <c r="F317" s="39"/>
      <c r="G317" s="348">
        <v>2025</v>
      </c>
      <c r="H317" s="345">
        <v>2025</v>
      </c>
      <c r="I317" s="117">
        <v>0</v>
      </c>
      <c r="J317" s="118">
        <v>0</v>
      </c>
      <c r="K317" s="295">
        <f t="shared" si="557"/>
        <v>0</v>
      </c>
      <c r="L317" s="117">
        <v>2173420</v>
      </c>
      <c r="M317" s="118">
        <v>0</v>
      </c>
      <c r="N317" s="295">
        <f t="shared" si="558"/>
        <v>2173420</v>
      </c>
      <c r="O317" s="117">
        <v>0</v>
      </c>
      <c r="P317" s="118">
        <v>0</v>
      </c>
      <c r="Q317" s="295">
        <f t="shared" si="559"/>
        <v>0</v>
      </c>
      <c r="R317" s="117">
        <v>0</v>
      </c>
      <c r="S317" s="118">
        <v>0</v>
      </c>
      <c r="T317" s="295">
        <f t="shared" si="560"/>
        <v>0</v>
      </c>
      <c r="U317" s="117">
        <v>0</v>
      </c>
      <c r="V317" s="118">
        <v>0</v>
      </c>
      <c r="W317" s="295">
        <f t="shared" si="561"/>
        <v>0</v>
      </c>
      <c r="X317" s="117">
        <v>0</v>
      </c>
      <c r="Y317" s="118">
        <v>0</v>
      </c>
      <c r="Z317" s="295">
        <f t="shared" si="562"/>
        <v>0</v>
      </c>
      <c r="AA317" s="117">
        <v>0</v>
      </c>
      <c r="AB317" s="118">
        <v>0</v>
      </c>
      <c r="AC317" s="295">
        <f t="shared" si="563"/>
        <v>0</v>
      </c>
      <c r="AD317" s="117">
        <f t="shared" si="552"/>
        <v>2173420</v>
      </c>
      <c r="AE317" s="117">
        <f t="shared" si="552"/>
        <v>0</v>
      </c>
      <c r="AF317" s="295">
        <f t="shared" si="564"/>
        <v>2173420</v>
      </c>
      <c r="AG317" s="117">
        <v>2173420</v>
      </c>
      <c r="AH317" s="118">
        <v>0</v>
      </c>
      <c r="AI317" s="295">
        <f t="shared" si="565"/>
        <v>2173420</v>
      </c>
      <c r="AJ317" s="117">
        <v>0</v>
      </c>
      <c r="AK317" s="118">
        <v>0</v>
      </c>
      <c r="AL317" s="105"/>
      <c r="AM317" s="295">
        <f t="shared" si="566"/>
        <v>0</v>
      </c>
      <c r="AN317" s="117">
        <v>0</v>
      </c>
      <c r="AO317" s="118">
        <v>0</v>
      </c>
      <c r="AP317" s="295">
        <f t="shared" si="567"/>
        <v>0</v>
      </c>
      <c r="AQ317" s="170">
        <f t="shared" si="508"/>
        <v>0</v>
      </c>
      <c r="AR317" s="47"/>
    </row>
    <row r="318" spans="2:44" ht="86.25" customHeight="1">
      <c r="B318" s="52" t="s">
        <v>734</v>
      </c>
      <c r="C318" s="353" t="s">
        <v>745</v>
      </c>
      <c r="D318" s="99"/>
      <c r="E318" s="39" t="s">
        <v>752</v>
      </c>
      <c r="F318" s="39" t="s">
        <v>753</v>
      </c>
      <c r="G318" s="348">
        <v>2024</v>
      </c>
      <c r="H318" s="345">
        <v>2030</v>
      </c>
      <c r="I318" s="117">
        <f>2*20*4*9000</f>
        <v>1440000</v>
      </c>
      <c r="J318" s="118">
        <v>0</v>
      </c>
      <c r="K318" s="295">
        <f t="shared" si="557"/>
        <v>1440000</v>
      </c>
      <c r="L318" s="117">
        <v>1440000</v>
      </c>
      <c r="M318" s="118">
        <v>0</v>
      </c>
      <c r="N318" s="295">
        <f t="shared" si="558"/>
        <v>1440000</v>
      </c>
      <c r="O318" s="117">
        <v>1440000</v>
      </c>
      <c r="P318" s="118">
        <v>0</v>
      </c>
      <c r="Q318" s="295">
        <f t="shared" si="559"/>
        <v>1440000</v>
      </c>
      <c r="R318" s="117">
        <v>1440000</v>
      </c>
      <c r="S318" s="118">
        <v>0</v>
      </c>
      <c r="T318" s="295">
        <f t="shared" si="560"/>
        <v>1440000</v>
      </c>
      <c r="U318" s="117">
        <v>1440000</v>
      </c>
      <c r="V318" s="118">
        <v>0</v>
      </c>
      <c r="W318" s="295">
        <f t="shared" si="561"/>
        <v>1440000</v>
      </c>
      <c r="X318" s="117">
        <v>1440000</v>
      </c>
      <c r="Y318" s="118">
        <v>0</v>
      </c>
      <c r="Z318" s="295">
        <f t="shared" si="562"/>
        <v>1440000</v>
      </c>
      <c r="AA318" s="117">
        <v>1440000</v>
      </c>
      <c r="AB318" s="118">
        <v>0</v>
      </c>
      <c r="AC318" s="295">
        <f t="shared" si="563"/>
        <v>1440000</v>
      </c>
      <c r="AD318" s="117">
        <f t="shared" si="552"/>
        <v>10080000</v>
      </c>
      <c r="AE318" s="117">
        <f t="shared" si="552"/>
        <v>0</v>
      </c>
      <c r="AF318" s="295">
        <f t="shared" si="564"/>
        <v>10080000</v>
      </c>
      <c r="AG318" s="117">
        <f>1440000*3</f>
        <v>4320000</v>
      </c>
      <c r="AH318" s="118">
        <v>0</v>
      </c>
      <c r="AI318" s="295">
        <f t="shared" si="565"/>
        <v>4320000</v>
      </c>
      <c r="AJ318" s="117">
        <v>0</v>
      </c>
      <c r="AK318" s="118">
        <v>0</v>
      </c>
      <c r="AL318" s="105"/>
      <c r="AM318" s="295">
        <f t="shared" si="566"/>
        <v>0</v>
      </c>
      <c r="AN318" s="117">
        <f>1440000*4</f>
        <v>5760000</v>
      </c>
      <c r="AO318" s="118">
        <v>0</v>
      </c>
      <c r="AP318" s="295">
        <f t="shared" si="567"/>
        <v>5760000</v>
      </c>
      <c r="AQ318" s="170">
        <f t="shared" si="508"/>
        <v>0</v>
      </c>
      <c r="AR318" s="47"/>
    </row>
    <row r="319" spans="2:44" ht="86.25" customHeight="1">
      <c r="B319" s="52" t="s">
        <v>735</v>
      </c>
      <c r="C319" s="354" t="s">
        <v>747</v>
      </c>
      <c r="D319" s="99"/>
      <c r="E319" s="39" t="s">
        <v>754</v>
      </c>
      <c r="F319" s="39"/>
      <c r="G319" s="349">
        <v>2026</v>
      </c>
      <c r="H319" s="346">
        <v>2026</v>
      </c>
      <c r="I319" s="117">
        <v>0</v>
      </c>
      <c r="J319" s="118">
        <v>0</v>
      </c>
      <c r="K319" s="295">
        <f t="shared" si="557"/>
        <v>0</v>
      </c>
      <c r="L319" s="117">
        <v>0</v>
      </c>
      <c r="M319" s="118">
        <v>0</v>
      </c>
      <c r="N319" s="295">
        <f t="shared" si="558"/>
        <v>0</v>
      </c>
      <c r="O319" s="117">
        <v>480000</v>
      </c>
      <c r="P319" s="118">
        <v>0</v>
      </c>
      <c r="Q319" s="295">
        <f t="shared" si="559"/>
        <v>480000</v>
      </c>
      <c r="R319" s="117">
        <v>0</v>
      </c>
      <c r="S319" s="118">
        <v>0</v>
      </c>
      <c r="T319" s="295">
        <f t="shared" si="560"/>
        <v>0</v>
      </c>
      <c r="U319" s="117">
        <v>0</v>
      </c>
      <c r="V319" s="118">
        <v>0</v>
      </c>
      <c r="W319" s="295">
        <f t="shared" si="561"/>
        <v>0</v>
      </c>
      <c r="X319" s="118">
        <v>0</v>
      </c>
      <c r="Y319" s="118">
        <v>0</v>
      </c>
      <c r="Z319" s="295">
        <f t="shared" si="562"/>
        <v>0</v>
      </c>
      <c r="AA319" s="118">
        <v>0</v>
      </c>
      <c r="AB319" s="118">
        <v>0</v>
      </c>
      <c r="AC319" s="295">
        <f t="shared" si="563"/>
        <v>0</v>
      </c>
      <c r="AD319" s="117">
        <f t="shared" si="552"/>
        <v>480000</v>
      </c>
      <c r="AE319" s="117">
        <f t="shared" si="552"/>
        <v>0</v>
      </c>
      <c r="AF319" s="295">
        <f t="shared" si="564"/>
        <v>480000</v>
      </c>
      <c r="AG319" s="117">
        <v>480000</v>
      </c>
      <c r="AH319" s="118">
        <v>0</v>
      </c>
      <c r="AI319" s="295">
        <f t="shared" si="565"/>
        <v>480000</v>
      </c>
      <c r="AJ319" s="117">
        <v>0</v>
      </c>
      <c r="AK319" s="118">
        <v>0</v>
      </c>
      <c r="AL319" s="105"/>
      <c r="AM319" s="295">
        <f t="shared" si="566"/>
        <v>0</v>
      </c>
      <c r="AN319" s="117">
        <v>0</v>
      </c>
      <c r="AO319" s="118">
        <v>0</v>
      </c>
      <c r="AP319" s="295">
        <f t="shared" si="567"/>
        <v>0</v>
      </c>
      <c r="AQ319" s="294">
        <f t="shared" si="508"/>
        <v>0</v>
      </c>
      <c r="AR319" s="47"/>
    </row>
    <row r="320" spans="2:44" ht="86.25" customHeight="1" thickBot="1">
      <c r="B320" s="213" t="s">
        <v>218</v>
      </c>
      <c r="C320" s="258" t="s">
        <v>755</v>
      </c>
      <c r="D320" s="209"/>
      <c r="E320" s="186" t="s">
        <v>752</v>
      </c>
      <c r="F320" s="186" t="s">
        <v>286</v>
      </c>
      <c r="G320" s="350">
        <v>2024</v>
      </c>
      <c r="H320" s="350">
        <v>2030</v>
      </c>
      <c r="I320" s="221">
        <f>SUM(I321:I324)</f>
        <v>2173420</v>
      </c>
      <c r="J320" s="221">
        <f>SUM(J321:J324)</f>
        <v>0</v>
      </c>
      <c r="K320" s="221">
        <f>SUM(I320:J320)</f>
        <v>2173420</v>
      </c>
      <c r="L320" s="221">
        <f>SUM(L321:L324)</f>
        <v>7606970</v>
      </c>
      <c r="M320" s="221">
        <f>SUM(M321:M324)</f>
        <v>0</v>
      </c>
      <c r="N320" s="221">
        <f>SUM(L320:M320)</f>
        <v>7606970</v>
      </c>
      <c r="O320" s="221">
        <f>SUM(O321:O324)</f>
        <v>3260130</v>
      </c>
      <c r="P320" s="221">
        <f>SUM(P321:P324)</f>
        <v>0</v>
      </c>
      <c r="Q320" s="221">
        <f>SUM(O320:P320)</f>
        <v>3260130</v>
      </c>
      <c r="R320" s="221">
        <f>SUM(R321:R324)</f>
        <v>3260130</v>
      </c>
      <c r="S320" s="221">
        <f>SUM(S321:S324)</f>
        <v>0</v>
      </c>
      <c r="T320" s="221">
        <f>SUM(R320:S320)</f>
        <v>3260130</v>
      </c>
      <c r="U320" s="221">
        <f>SUM(U321:U324)</f>
        <v>3260130</v>
      </c>
      <c r="V320" s="221">
        <f>SUM(V321:V324)</f>
        <v>0</v>
      </c>
      <c r="W320" s="221">
        <f>SUM(U320:V320)</f>
        <v>3260130</v>
      </c>
      <c r="X320" s="221">
        <f>SUM(X321:X324)</f>
        <v>3260130</v>
      </c>
      <c r="Y320" s="221">
        <f>SUM(Y321:Y324)</f>
        <v>0</v>
      </c>
      <c r="Z320" s="221">
        <f>SUM(X320:Y320)</f>
        <v>3260130</v>
      </c>
      <c r="AA320" s="221">
        <f>SUM(AA321:AA324)</f>
        <v>3260130</v>
      </c>
      <c r="AB320" s="221">
        <f>SUM(AB321:AB324)</f>
        <v>0</v>
      </c>
      <c r="AC320" s="221">
        <f>SUM(AA320:AB320)</f>
        <v>3260130</v>
      </c>
      <c r="AD320" s="221">
        <f t="shared" si="552"/>
        <v>26081040</v>
      </c>
      <c r="AE320" s="221">
        <f t="shared" si="552"/>
        <v>0</v>
      </c>
      <c r="AF320" s="221">
        <f>SUM(AD320:AE320)</f>
        <v>26081040</v>
      </c>
      <c r="AG320" s="221">
        <f>SUM(AG321:AG324)</f>
        <v>13040520</v>
      </c>
      <c r="AH320" s="221">
        <f>SUM(AH321:AH324)</f>
        <v>0</v>
      </c>
      <c r="AI320" s="221">
        <f>SUM(AG320:AH320)</f>
        <v>13040520</v>
      </c>
      <c r="AJ320" s="221">
        <f>SUM(AJ321:AJ324)</f>
        <v>0</v>
      </c>
      <c r="AK320" s="221">
        <f>SUM(AK321:AK324)</f>
        <v>0</v>
      </c>
      <c r="AL320" s="212"/>
      <c r="AM320" s="221">
        <f>AJ320+AK320</f>
        <v>0</v>
      </c>
      <c r="AN320" s="221">
        <f>SUM(AN321:AN324)</f>
        <v>13040520</v>
      </c>
      <c r="AO320" s="221">
        <f>SUM(AO321:AO324)</f>
        <v>0</v>
      </c>
      <c r="AP320" s="221">
        <f>SUM(AN320:AO320)</f>
        <v>13040520</v>
      </c>
      <c r="AQ320" s="211">
        <f t="shared" si="508"/>
        <v>0</v>
      </c>
      <c r="AR320" s="47"/>
    </row>
    <row r="321" spans="2:44" ht="86.25" customHeight="1">
      <c r="B321" s="52" t="s">
        <v>228</v>
      </c>
      <c r="C321" s="352" t="s">
        <v>756</v>
      </c>
      <c r="D321" s="99"/>
      <c r="E321" s="323" t="s">
        <v>752</v>
      </c>
      <c r="F321" s="367"/>
      <c r="G321" s="351">
        <v>2025</v>
      </c>
      <c r="H321" s="351">
        <v>2025</v>
      </c>
      <c r="I321" s="117">
        <v>0</v>
      </c>
      <c r="J321" s="118">
        <v>0</v>
      </c>
      <c r="K321" s="295">
        <f t="shared" ref="K321:K324" si="568">SUM(I321:J321)</f>
        <v>0</v>
      </c>
      <c r="L321" s="117">
        <v>2173420</v>
      </c>
      <c r="M321" s="118">
        <v>0</v>
      </c>
      <c r="N321" s="295">
        <f t="shared" ref="N321:N324" si="569">SUM(L321:M321)</f>
        <v>2173420</v>
      </c>
      <c r="O321" s="117">
        <v>0</v>
      </c>
      <c r="P321" s="118">
        <v>0</v>
      </c>
      <c r="Q321" s="295">
        <f t="shared" ref="Q321:Q324" si="570">SUM(O321:P321)</f>
        <v>0</v>
      </c>
      <c r="R321" s="117">
        <v>0</v>
      </c>
      <c r="S321" s="118">
        <v>0</v>
      </c>
      <c r="T321" s="295">
        <f t="shared" ref="T321:T324" si="571">SUM(R321:S321)</f>
        <v>0</v>
      </c>
      <c r="U321" s="117">
        <v>0</v>
      </c>
      <c r="V321" s="118">
        <v>0</v>
      </c>
      <c r="W321" s="295">
        <f t="shared" ref="W321:W324" si="572">SUM(U321:V321)</f>
        <v>0</v>
      </c>
      <c r="X321" s="118">
        <v>0</v>
      </c>
      <c r="Y321" s="118">
        <v>0</v>
      </c>
      <c r="Z321" s="295">
        <f t="shared" ref="Z321:Z324" si="573">SUM(X321:Y321)</f>
        <v>0</v>
      </c>
      <c r="AA321" s="118">
        <v>0</v>
      </c>
      <c r="AB321" s="118">
        <v>0</v>
      </c>
      <c r="AC321" s="295">
        <f t="shared" ref="AC321:AC324" si="574">SUM(AA321:AB321)</f>
        <v>0</v>
      </c>
      <c r="AD321" s="117">
        <f t="shared" si="552"/>
        <v>2173420</v>
      </c>
      <c r="AE321" s="117">
        <f t="shared" si="552"/>
        <v>0</v>
      </c>
      <c r="AF321" s="295">
        <f t="shared" ref="AF321:AF324" si="575">SUM(AD321:AE321)</f>
        <v>2173420</v>
      </c>
      <c r="AG321" s="117">
        <v>2173420</v>
      </c>
      <c r="AH321" s="118">
        <v>0</v>
      </c>
      <c r="AI321" s="295">
        <f t="shared" ref="AI321:AI324" si="576">SUM(AG321:AH321)</f>
        <v>2173420</v>
      </c>
      <c r="AJ321" s="117">
        <v>0</v>
      </c>
      <c r="AK321" s="118">
        <v>0</v>
      </c>
      <c r="AL321" s="105"/>
      <c r="AM321" s="295">
        <f t="shared" ref="AM321:AM324" si="577">AJ321+AK321</f>
        <v>0</v>
      </c>
      <c r="AN321" s="117">
        <v>0</v>
      </c>
      <c r="AO321" s="118">
        <v>0</v>
      </c>
      <c r="AP321" s="295">
        <f t="shared" ref="AP321:AP324" si="578">SUM(AN321:AO321)</f>
        <v>0</v>
      </c>
      <c r="AQ321" s="170">
        <f t="shared" si="508"/>
        <v>0</v>
      </c>
      <c r="AR321" s="47"/>
    </row>
    <row r="322" spans="2:44" ht="61.9" customHeight="1">
      <c r="B322" s="52" t="s">
        <v>229</v>
      </c>
      <c r="C322" s="376" t="s">
        <v>757</v>
      </c>
      <c r="D322" s="99"/>
      <c r="E322" s="39" t="s">
        <v>752</v>
      </c>
      <c r="F322" s="368"/>
      <c r="G322" s="345">
        <v>2025</v>
      </c>
      <c r="H322" s="345">
        <v>2030</v>
      </c>
      <c r="I322" s="117">
        <v>0</v>
      </c>
      <c r="J322" s="118">
        <v>0</v>
      </c>
      <c r="K322" s="295">
        <f t="shared" si="568"/>
        <v>0</v>
      </c>
      <c r="L322" s="117">
        <v>3260130</v>
      </c>
      <c r="M322" s="118">
        <v>0</v>
      </c>
      <c r="N322" s="295">
        <f t="shared" si="569"/>
        <v>3260130</v>
      </c>
      <c r="O322" s="117">
        <v>1086710</v>
      </c>
      <c r="P322" s="118">
        <v>0</v>
      </c>
      <c r="Q322" s="295">
        <f t="shared" si="570"/>
        <v>1086710</v>
      </c>
      <c r="R322" s="117">
        <v>1086710</v>
      </c>
      <c r="S322" s="118">
        <v>0</v>
      </c>
      <c r="T322" s="295">
        <f t="shared" si="571"/>
        <v>1086710</v>
      </c>
      <c r="U322" s="117">
        <v>1086710</v>
      </c>
      <c r="V322" s="118">
        <v>0</v>
      </c>
      <c r="W322" s="295">
        <f t="shared" si="572"/>
        <v>1086710</v>
      </c>
      <c r="X322" s="118">
        <v>1086710</v>
      </c>
      <c r="Y322" s="118">
        <v>0</v>
      </c>
      <c r="Z322" s="295">
        <f t="shared" si="573"/>
        <v>1086710</v>
      </c>
      <c r="AA322" s="118">
        <v>1086710</v>
      </c>
      <c r="AB322" s="118">
        <v>0</v>
      </c>
      <c r="AC322" s="295">
        <f t="shared" si="574"/>
        <v>1086710</v>
      </c>
      <c r="AD322" s="117">
        <f t="shared" si="552"/>
        <v>8693680</v>
      </c>
      <c r="AE322" s="117">
        <f t="shared" si="552"/>
        <v>0</v>
      </c>
      <c r="AF322" s="295">
        <f t="shared" si="575"/>
        <v>8693680</v>
      </c>
      <c r="AG322" s="117">
        <f>1086710*4</f>
        <v>4346840</v>
      </c>
      <c r="AH322" s="118">
        <v>0</v>
      </c>
      <c r="AI322" s="295">
        <f t="shared" si="576"/>
        <v>4346840</v>
      </c>
      <c r="AJ322" s="117">
        <v>0</v>
      </c>
      <c r="AK322" s="118">
        <v>0</v>
      </c>
      <c r="AL322" s="105"/>
      <c r="AM322" s="295">
        <f t="shared" si="577"/>
        <v>0</v>
      </c>
      <c r="AN322" s="117">
        <f>1086710*4</f>
        <v>4346840</v>
      </c>
      <c r="AO322" s="118">
        <v>0</v>
      </c>
      <c r="AP322" s="295">
        <f t="shared" si="578"/>
        <v>4346840</v>
      </c>
      <c r="AQ322" s="170">
        <f t="shared" si="508"/>
        <v>0</v>
      </c>
      <c r="AR322" s="47"/>
    </row>
    <row r="323" spans="2:44" ht="86.25" customHeight="1">
      <c r="B323" s="52" t="s">
        <v>230</v>
      </c>
      <c r="C323" s="73" t="s">
        <v>758</v>
      </c>
      <c r="D323" s="99"/>
      <c r="E323" s="39" t="s">
        <v>752</v>
      </c>
      <c r="F323" s="368"/>
      <c r="G323" s="345">
        <v>2024</v>
      </c>
      <c r="H323" s="345">
        <v>2030</v>
      </c>
      <c r="I323" s="117">
        <v>1086710</v>
      </c>
      <c r="J323" s="118">
        <v>0</v>
      </c>
      <c r="K323" s="295">
        <f t="shared" si="568"/>
        <v>1086710</v>
      </c>
      <c r="L323" s="117">
        <v>1086710</v>
      </c>
      <c r="M323" s="118">
        <v>0</v>
      </c>
      <c r="N323" s="295">
        <f t="shared" si="569"/>
        <v>1086710</v>
      </c>
      <c r="O323" s="117">
        <v>1086710</v>
      </c>
      <c r="P323" s="118">
        <v>0</v>
      </c>
      <c r="Q323" s="295">
        <f t="shared" si="570"/>
        <v>1086710</v>
      </c>
      <c r="R323" s="117">
        <v>1086710</v>
      </c>
      <c r="S323" s="118">
        <v>0</v>
      </c>
      <c r="T323" s="295">
        <f t="shared" si="571"/>
        <v>1086710</v>
      </c>
      <c r="U323" s="117">
        <v>1086710</v>
      </c>
      <c r="V323" s="118">
        <v>0</v>
      </c>
      <c r="W323" s="295">
        <f t="shared" si="572"/>
        <v>1086710</v>
      </c>
      <c r="X323" s="117">
        <v>1086710</v>
      </c>
      <c r="Y323" s="118">
        <v>0</v>
      </c>
      <c r="Z323" s="295">
        <f t="shared" si="573"/>
        <v>1086710</v>
      </c>
      <c r="AA323" s="117">
        <v>1086710</v>
      </c>
      <c r="AB323" s="118">
        <v>0</v>
      </c>
      <c r="AC323" s="295">
        <f t="shared" si="574"/>
        <v>1086710</v>
      </c>
      <c r="AD323" s="117">
        <f t="shared" si="552"/>
        <v>7606970</v>
      </c>
      <c r="AE323" s="117">
        <f t="shared" si="552"/>
        <v>0</v>
      </c>
      <c r="AF323" s="295">
        <f t="shared" si="575"/>
        <v>7606970</v>
      </c>
      <c r="AG323" s="117">
        <f>1086710*3</f>
        <v>3260130</v>
      </c>
      <c r="AH323" s="118">
        <v>0</v>
      </c>
      <c r="AI323" s="295">
        <f t="shared" si="576"/>
        <v>3260130</v>
      </c>
      <c r="AJ323" s="117">
        <v>0</v>
      </c>
      <c r="AK323" s="118">
        <v>0</v>
      </c>
      <c r="AL323" s="105"/>
      <c r="AM323" s="295">
        <f t="shared" si="577"/>
        <v>0</v>
      </c>
      <c r="AN323" s="117">
        <f>1086710*4</f>
        <v>4346840</v>
      </c>
      <c r="AO323" s="118">
        <v>0</v>
      </c>
      <c r="AP323" s="295">
        <f t="shared" si="578"/>
        <v>4346840</v>
      </c>
      <c r="AQ323" s="170">
        <f t="shared" si="508"/>
        <v>0</v>
      </c>
      <c r="AR323" s="47"/>
    </row>
    <row r="324" spans="2:44" ht="67.150000000000006" customHeight="1" thickBot="1">
      <c r="B324" s="176" t="s">
        <v>231</v>
      </c>
      <c r="C324" s="372" t="s">
        <v>759</v>
      </c>
      <c r="D324" s="177"/>
      <c r="E324" s="389" t="s">
        <v>752</v>
      </c>
      <c r="F324" s="506" t="s">
        <v>286</v>
      </c>
      <c r="G324" s="345">
        <v>2024</v>
      </c>
      <c r="H324" s="345">
        <v>2030</v>
      </c>
      <c r="I324" s="117">
        <v>1086710</v>
      </c>
      <c r="J324" s="297">
        <v>0</v>
      </c>
      <c r="K324" s="298">
        <f t="shared" si="568"/>
        <v>1086710</v>
      </c>
      <c r="L324" s="117">
        <v>1086710</v>
      </c>
      <c r="M324" s="297">
        <v>0</v>
      </c>
      <c r="N324" s="298">
        <f t="shared" si="569"/>
        <v>1086710</v>
      </c>
      <c r="O324" s="117">
        <v>1086710</v>
      </c>
      <c r="P324" s="297">
        <v>0</v>
      </c>
      <c r="Q324" s="298">
        <f t="shared" si="570"/>
        <v>1086710</v>
      </c>
      <c r="R324" s="117">
        <v>1086710</v>
      </c>
      <c r="S324" s="297">
        <v>0</v>
      </c>
      <c r="T324" s="298">
        <f t="shared" si="571"/>
        <v>1086710</v>
      </c>
      <c r="U324" s="117">
        <v>1086710</v>
      </c>
      <c r="V324" s="297">
        <v>0</v>
      </c>
      <c r="W324" s="298">
        <f t="shared" si="572"/>
        <v>1086710</v>
      </c>
      <c r="X324" s="117">
        <v>1086710</v>
      </c>
      <c r="Y324" s="297">
        <v>0</v>
      </c>
      <c r="Z324" s="298">
        <f t="shared" si="573"/>
        <v>1086710</v>
      </c>
      <c r="AA324" s="117">
        <v>1086710</v>
      </c>
      <c r="AB324" s="297">
        <v>0</v>
      </c>
      <c r="AC324" s="298">
        <f t="shared" si="574"/>
        <v>1086710</v>
      </c>
      <c r="AD324" s="117">
        <f t="shared" si="552"/>
        <v>7606970</v>
      </c>
      <c r="AE324" s="296">
        <f t="shared" si="552"/>
        <v>0</v>
      </c>
      <c r="AF324" s="298">
        <f t="shared" si="575"/>
        <v>7606970</v>
      </c>
      <c r="AG324" s="296">
        <f>1086710*3</f>
        <v>3260130</v>
      </c>
      <c r="AH324" s="297">
        <v>0</v>
      </c>
      <c r="AI324" s="298">
        <f t="shared" si="576"/>
        <v>3260130</v>
      </c>
      <c r="AJ324" s="296">
        <v>0</v>
      </c>
      <c r="AK324" s="297">
        <v>0</v>
      </c>
      <c r="AL324" s="175"/>
      <c r="AM324" s="298">
        <f t="shared" si="577"/>
        <v>0</v>
      </c>
      <c r="AN324" s="296">
        <f>1086710*4</f>
        <v>4346840</v>
      </c>
      <c r="AO324" s="118">
        <v>0</v>
      </c>
      <c r="AP324" s="298">
        <f t="shared" si="578"/>
        <v>4346840</v>
      </c>
      <c r="AQ324" s="170">
        <f t="shared" si="508"/>
        <v>0</v>
      </c>
      <c r="AR324" s="47"/>
    </row>
    <row r="325" spans="2:44" ht="67.150000000000006" customHeight="1" thickBot="1">
      <c r="B325" s="213" t="s">
        <v>219</v>
      </c>
      <c r="C325" s="258" t="s">
        <v>760</v>
      </c>
      <c r="D325" s="209"/>
      <c r="E325" s="539" t="s">
        <v>370</v>
      </c>
      <c r="F325" s="540" t="s">
        <v>597</v>
      </c>
      <c r="G325" s="350">
        <v>2026</v>
      </c>
      <c r="H325" s="350">
        <v>2030</v>
      </c>
      <c r="I325" s="221">
        <f>SUM(I326:I326)</f>
        <v>0</v>
      </c>
      <c r="J325" s="221">
        <f>SUM(J326:J326)</f>
        <v>0</v>
      </c>
      <c r="K325" s="221">
        <f>SUM(I325:J325)</f>
        <v>0</v>
      </c>
      <c r="L325" s="221">
        <f>SUM(L326:L326)</f>
        <v>0</v>
      </c>
      <c r="M325" s="221">
        <f>SUM(M326:M326)</f>
        <v>0</v>
      </c>
      <c r="N325" s="221">
        <f>SUM(L325:M325)</f>
        <v>0</v>
      </c>
      <c r="O325" s="221">
        <f>SUM(O326:O326)</f>
        <v>2173420</v>
      </c>
      <c r="P325" s="221">
        <f>SUM(P326:P326)</f>
        <v>0</v>
      </c>
      <c r="Q325" s="221">
        <f>SUM(O325:P325)</f>
        <v>2173420</v>
      </c>
      <c r="R325" s="221">
        <f>SUM(R326:R326)</f>
        <v>2173420</v>
      </c>
      <c r="S325" s="221">
        <f>SUM(S326:S326)</f>
        <v>0</v>
      </c>
      <c r="T325" s="221">
        <f>SUM(R325:S325)</f>
        <v>2173420</v>
      </c>
      <c r="U325" s="221">
        <f>SUM(U326:U326)</f>
        <v>2173420</v>
      </c>
      <c r="V325" s="221">
        <f>SUM(V326:V326)</f>
        <v>0</v>
      </c>
      <c r="W325" s="221">
        <f>SUM(U325:V325)</f>
        <v>2173420</v>
      </c>
      <c r="X325" s="221">
        <f>SUM(X326:X326)</f>
        <v>2173420</v>
      </c>
      <c r="Y325" s="221">
        <f>SUM(Y326:Y326)</f>
        <v>0</v>
      </c>
      <c r="Z325" s="221">
        <f>SUM(X325:Y325)</f>
        <v>2173420</v>
      </c>
      <c r="AA325" s="221">
        <f>SUM(AA326:AA326)</f>
        <v>2173420</v>
      </c>
      <c r="AB325" s="221">
        <f>SUM(AB326:AB326)</f>
        <v>0</v>
      </c>
      <c r="AC325" s="221">
        <f>SUM(AA325:AB325)</f>
        <v>2173420</v>
      </c>
      <c r="AD325" s="221">
        <f t="shared" si="552"/>
        <v>10867100</v>
      </c>
      <c r="AE325" s="221">
        <f t="shared" si="552"/>
        <v>0</v>
      </c>
      <c r="AF325" s="221">
        <f>SUM(AD325:AE325)</f>
        <v>10867100</v>
      </c>
      <c r="AG325" s="221">
        <f>SUM(AG326:AG326)</f>
        <v>2173420</v>
      </c>
      <c r="AH325" s="221">
        <f>SUM(AH326:AH326)</f>
        <v>0</v>
      </c>
      <c r="AI325" s="221">
        <f>SUM(AG325:AH325)</f>
        <v>2173420</v>
      </c>
      <c r="AJ325" s="221">
        <f>SUM(AJ326:AJ326)</f>
        <v>0</v>
      </c>
      <c r="AK325" s="221">
        <f>SUM(AK326:AK326)</f>
        <v>0</v>
      </c>
      <c r="AL325" s="212"/>
      <c r="AM325" s="221">
        <f>AJ325+AK325</f>
        <v>0</v>
      </c>
      <c r="AN325" s="221">
        <f>SUM(AN326:AN326)</f>
        <v>8693680</v>
      </c>
      <c r="AO325" s="221">
        <f>SUM(AO326:AO326)</f>
        <v>0</v>
      </c>
      <c r="AP325" s="221">
        <f>SUM(AN325:AO325)</f>
        <v>8693680</v>
      </c>
      <c r="AQ325" s="211">
        <f t="shared" si="508"/>
        <v>0</v>
      </c>
      <c r="AR325" s="47"/>
    </row>
    <row r="326" spans="2:44" ht="67.150000000000006" customHeight="1" thickBot="1">
      <c r="B326" s="52" t="s">
        <v>232</v>
      </c>
      <c r="C326" s="66" t="s">
        <v>761</v>
      </c>
      <c r="D326" s="99"/>
      <c r="E326" s="486" t="s">
        <v>370</v>
      </c>
      <c r="F326" s="538" t="s">
        <v>597</v>
      </c>
      <c r="G326" s="71">
        <v>2026</v>
      </c>
      <c r="H326" s="71">
        <v>2030</v>
      </c>
      <c r="I326" s="117">
        <v>0</v>
      </c>
      <c r="J326" s="117">
        <v>0</v>
      </c>
      <c r="K326" s="295">
        <f t="shared" ref="K326" si="579">SUM(I326:J326)</f>
        <v>0</v>
      </c>
      <c r="L326" s="117">
        <v>0</v>
      </c>
      <c r="M326" s="117">
        <v>0</v>
      </c>
      <c r="N326" s="295">
        <f>SUM(L326:M326)</f>
        <v>0</v>
      </c>
      <c r="O326" s="117">
        <v>2173420</v>
      </c>
      <c r="P326" s="117">
        <v>0</v>
      </c>
      <c r="Q326" s="295">
        <f t="shared" ref="Q326" si="580">SUM(O326:P326)</f>
        <v>2173420</v>
      </c>
      <c r="R326" s="117">
        <v>2173420</v>
      </c>
      <c r="S326" s="117">
        <v>0</v>
      </c>
      <c r="T326" s="295">
        <f t="shared" ref="T326" si="581">SUM(R326:S326)</f>
        <v>2173420</v>
      </c>
      <c r="U326" s="117">
        <v>2173420</v>
      </c>
      <c r="V326" s="117">
        <v>0</v>
      </c>
      <c r="W326" s="295">
        <f t="shared" ref="W326" si="582">SUM(U326:V326)</f>
        <v>2173420</v>
      </c>
      <c r="X326" s="117">
        <v>2173420</v>
      </c>
      <c r="Y326" s="117">
        <v>0</v>
      </c>
      <c r="Z326" s="295">
        <f t="shared" ref="Z326" si="583">SUM(X326:Y326)</f>
        <v>2173420</v>
      </c>
      <c r="AA326" s="117">
        <v>2173420</v>
      </c>
      <c r="AB326" s="117">
        <v>0</v>
      </c>
      <c r="AC326" s="295">
        <f t="shared" ref="AC326" si="584">SUM(AA326:AB326)</f>
        <v>2173420</v>
      </c>
      <c r="AD326" s="117">
        <f t="shared" ref="AD326:AE327" si="585">I326+L326+O326+R326+U326+X326+AA326</f>
        <v>10867100</v>
      </c>
      <c r="AE326" s="117">
        <f t="shared" si="585"/>
        <v>0</v>
      </c>
      <c r="AF326" s="295">
        <f t="shared" ref="AF326" si="586">SUM(AD326:AE326)</f>
        <v>10867100</v>
      </c>
      <c r="AG326" s="117">
        <v>2173420</v>
      </c>
      <c r="AH326" s="117">
        <v>0</v>
      </c>
      <c r="AI326" s="295">
        <f t="shared" ref="AI326" si="587">SUM(AG326:AH326)</f>
        <v>2173420</v>
      </c>
      <c r="AJ326" s="117">
        <v>0</v>
      </c>
      <c r="AK326" s="117">
        <v>0</v>
      </c>
      <c r="AL326" s="106"/>
      <c r="AM326" s="295">
        <f t="shared" ref="AM326" si="588">AJ326+AK326</f>
        <v>0</v>
      </c>
      <c r="AN326" s="117">
        <f>2173420*4</f>
        <v>8693680</v>
      </c>
      <c r="AO326" s="117">
        <v>0</v>
      </c>
      <c r="AP326" s="295">
        <f t="shared" ref="AP326" si="589">SUM(AN326:AO326)</f>
        <v>8693680</v>
      </c>
      <c r="AQ326" s="299">
        <f t="shared" si="508"/>
        <v>0</v>
      </c>
      <c r="AR326" s="47"/>
    </row>
    <row r="327" spans="2:44" ht="0.6" customHeight="1">
      <c r="B327" s="52" t="s">
        <v>233</v>
      </c>
      <c r="C327" s="66"/>
      <c r="D327" s="99"/>
      <c r="E327" s="1"/>
      <c r="F327" s="1"/>
      <c r="G327" s="71"/>
      <c r="H327" s="71"/>
      <c r="I327" s="117">
        <v>0</v>
      </c>
      <c r="J327" s="118">
        <v>0</v>
      </c>
      <c r="K327" s="295">
        <f t="shared" ref="K327" si="590">SUM(I327:J327)</f>
        <v>0</v>
      </c>
      <c r="L327" s="117">
        <v>0</v>
      </c>
      <c r="M327" s="118">
        <v>0</v>
      </c>
      <c r="N327" s="295">
        <v>0</v>
      </c>
      <c r="O327" s="117">
        <v>0</v>
      </c>
      <c r="P327" s="118">
        <v>0</v>
      </c>
      <c r="Q327" s="295">
        <f t="shared" ref="Q327" si="591">SUM(O327:P327)</f>
        <v>0</v>
      </c>
      <c r="R327" s="117">
        <v>0</v>
      </c>
      <c r="S327" s="118">
        <v>0</v>
      </c>
      <c r="T327" s="295">
        <f t="shared" ref="T327" si="592">SUM(R327:S327)</f>
        <v>0</v>
      </c>
      <c r="U327" s="117">
        <v>0</v>
      </c>
      <c r="V327" s="118">
        <v>0</v>
      </c>
      <c r="W327" s="295">
        <f t="shared" ref="W327" si="593">SUM(U327:V327)</f>
        <v>0</v>
      </c>
      <c r="X327" s="118">
        <v>0</v>
      </c>
      <c r="Y327" s="118">
        <v>0</v>
      </c>
      <c r="Z327" s="295">
        <f t="shared" ref="Z327" si="594">SUM(X327:Y327)</f>
        <v>0</v>
      </c>
      <c r="AA327" s="118">
        <v>0</v>
      </c>
      <c r="AB327" s="118">
        <v>0</v>
      </c>
      <c r="AC327" s="295">
        <f t="shared" ref="AC327" si="595">SUM(AA327:AB327)</f>
        <v>0</v>
      </c>
      <c r="AD327" s="117">
        <v>0</v>
      </c>
      <c r="AE327" s="117">
        <f t="shared" si="585"/>
        <v>0</v>
      </c>
      <c r="AF327" s="295">
        <f t="shared" ref="AF327" si="596">SUM(AD327:AE327)</f>
        <v>0</v>
      </c>
      <c r="AG327" s="117">
        <v>0</v>
      </c>
      <c r="AH327" s="118">
        <v>0</v>
      </c>
      <c r="AI327" s="295">
        <f t="shared" ref="AI327" si="597">SUM(AG327:AH327)</f>
        <v>0</v>
      </c>
      <c r="AJ327" s="117">
        <v>0</v>
      </c>
      <c r="AK327" s="118">
        <v>0</v>
      </c>
      <c r="AL327" s="105"/>
      <c r="AM327" s="295">
        <f t="shared" ref="AM327" si="598">AJ327+AK327</f>
        <v>0</v>
      </c>
      <c r="AN327" s="117">
        <v>0</v>
      </c>
      <c r="AO327" s="118">
        <v>0</v>
      </c>
      <c r="AP327" s="295">
        <f t="shared" ref="AP327" si="599">SUM(AN327:AO327)</f>
        <v>0</v>
      </c>
      <c r="AQ327" s="170">
        <f t="shared" si="508"/>
        <v>0</v>
      </c>
      <c r="AR327" s="47"/>
    </row>
    <row r="328" spans="2:44" s="4" customFormat="1" ht="44.45" customHeight="1" thickBot="1">
      <c r="B328" s="150"/>
      <c r="C328" s="151" t="s">
        <v>25</v>
      </c>
      <c r="D328" s="107"/>
      <c r="E328" s="85"/>
      <c r="F328" s="85"/>
      <c r="G328" s="85"/>
      <c r="H328" s="85"/>
      <c r="I328" s="152">
        <f t="shared" ref="I328:AK328" si="600">SUM(I289,I294,I299,I303,I308,I320,I325)</f>
        <v>33214525</v>
      </c>
      <c r="J328" s="152">
        <f t="shared" si="600"/>
        <v>0</v>
      </c>
      <c r="K328" s="152">
        <f t="shared" si="600"/>
        <v>33214525</v>
      </c>
      <c r="L328" s="152">
        <f t="shared" si="600"/>
        <v>69711690</v>
      </c>
      <c r="M328" s="152">
        <f t="shared" si="600"/>
        <v>0</v>
      </c>
      <c r="N328" s="152">
        <f t="shared" si="600"/>
        <v>69711690</v>
      </c>
      <c r="O328" s="152">
        <f t="shared" si="600"/>
        <v>32064460</v>
      </c>
      <c r="P328" s="152">
        <f t="shared" si="600"/>
        <v>0</v>
      </c>
      <c r="Q328" s="152">
        <f t="shared" si="600"/>
        <v>32064460</v>
      </c>
      <c r="R328" s="152">
        <f t="shared" si="600"/>
        <v>27237620</v>
      </c>
      <c r="S328" s="152">
        <f t="shared" si="600"/>
        <v>0</v>
      </c>
      <c r="T328" s="152">
        <f t="shared" si="600"/>
        <v>27237620</v>
      </c>
      <c r="U328" s="152">
        <f t="shared" si="600"/>
        <v>27237620</v>
      </c>
      <c r="V328" s="152">
        <f t="shared" si="600"/>
        <v>0</v>
      </c>
      <c r="W328" s="152">
        <f t="shared" si="600"/>
        <v>27237620</v>
      </c>
      <c r="X328" s="152">
        <f t="shared" si="600"/>
        <v>27237620</v>
      </c>
      <c r="Y328" s="152">
        <f t="shared" si="600"/>
        <v>0</v>
      </c>
      <c r="Z328" s="152">
        <f t="shared" si="600"/>
        <v>27237620</v>
      </c>
      <c r="AA328" s="152">
        <f t="shared" si="600"/>
        <v>27237620</v>
      </c>
      <c r="AB328" s="152">
        <f t="shared" si="600"/>
        <v>0</v>
      </c>
      <c r="AC328" s="152">
        <f t="shared" si="600"/>
        <v>27237620</v>
      </c>
      <c r="AD328" s="152">
        <f t="shared" si="600"/>
        <v>243941155</v>
      </c>
      <c r="AE328" s="152">
        <f t="shared" si="600"/>
        <v>0</v>
      </c>
      <c r="AF328" s="152">
        <f t="shared" si="600"/>
        <v>243941155</v>
      </c>
      <c r="AG328" s="152">
        <f t="shared" si="600"/>
        <v>134990675</v>
      </c>
      <c r="AH328" s="152">
        <f t="shared" si="600"/>
        <v>0</v>
      </c>
      <c r="AI328" s="152">
        <f t="shared" si="600"/>
        <v>134990675</v>
      </c>
      <c r="AJ328" s="152">
        <f t="shared" si="600"/>
        <v>0</v>
      </c>
      <c r="AK328" s="152">
        <f t="shared" si="600"/>
        <v>0</v>
      </c>
      <c r="AL328" s="152"/>
      <c r="AM328" s="152">
        <f>SUM(AM289,AM294,AM299,AM303,AM308,AM320,AM325)</f>
        <v>0</v>
      </c>
      <c r="AN328" s="152">
        <f>SUM(AN289,AN294,AN299,AN303,AN308,AN320,AN325)</f>
        <v>108950480</v>
      </c>
      <c r="AO328" s="152">
        <f>SUM(AO289,AO294,AO299,AO303,AO308,AO320,AO325)</f>
        <v>0</v>
      </c>
      <c r="AP328" s="152">
        <f>SUM(AP289,AP294,AP299,AP303,AP308,AP320,AP325)</f>
        <v>108950480</v>
      </c>
      <c r="AQ328" s="172">
        <f t="shared" si="508"/>
        <v>0</v>
      </c>
      <c r="AR328" s="48"/>
    </row>
    <row r="329" spans="2:44" ht="54.6" customHeight="1">
      <c r="B329" s="55">
        <v>3.2</v>
      </c>
      <c r="C329" s="845" t="s">
        <v>762</v>
      </c>
      <c r="D329" s="846"/>
      <c r="E329" s="119"/>
      <c r="F329" s="119"/>
      <c r="G329" s="90"/>
      <c r="H329" s="90"/>
      <c r="I329" s="103"/>
      <c r="J329" s="103"/>
      <c r="K329" s="103"/>
      <c r="L329" s="103"/>
      <c r="M329" s="103"/>
      <c r="N329" s="103"/>
      <c r="O329" s="103"/>
      <c r="P329" s="103"/>
      <c r="Q329" s="103"/>
      <c r="R329" s="103"/>
      <c r="S329" s="103"/>
      <c r="T329" s="103"/>
      <c r="U329" s="103"/>
      <c r="V329" s="103"/>
      <c r="W329" s="103"/>
      <c r="X329" s="103"/>
      <c r="Y329" s="103"/>
      <c r="Z329" s="103"/>
      <c r="AA329" s="103"/>
      <c r="AB329" s="103"/>
      <c r="AC329" s="103"/>
      <c r="AD329" s="103"/>
      <c r="AE329" s="103"/>
      <c r="AF329" s="103"/>
      <c r="AG329" s="103"/>
      <c r="AH329" s="103"/>
      <c r="AI329" s="103"/>
      <c r="AJ329" s="103"/>
      <c r="AK329" s="103"/>
      <c r="AL329" s="103"/>
      <c r="AM329" s="103"/>
      <c r="AN329" s="103"/>
      <c r="AO329" s="103"/>
      <c r="AP329" s="103"/>
      <c r="AQ329" s="104"/>
      <c r="AR329" s="47"/>
    </row>
    <row r="330" spans="2:44" ht="21" customHeight="1">
      <c r="B330" s="61"/>
      <c r="C330" s="62" t="s">
        <v>68</v>
      </c>
      <c r="D330" s="92"/>
      <c r="E330" s="120"/>
      <c r="F330" s="120"/>
      <c r="G330" s="93"/>
      <c r="H330" s="93"/>
      <c r="I330" s="83"/>
      <c r="J330" s="83"/>
      <c r="K330" s="83"/>
      <c r="L330" s="83"/>
      <c r="M330" s="83"/>
      <c r="N330" s="83"/>
      <c r="O330" s="83"/>
      <c r="P330" s="83"/>
      <c r="Q330" s="83"/>
      <c r="R330" s="83"/>
      <c r="S330" s="83"/>
      <c r="T330" s="83"/>
      <c r="U330" s="83"/>
      <c r="V330" s="83"/>
      <c r="W330" s="83"/>
      <c r="X330" s="83"/>
      <c r="Y330" s="83"/>
      <c r="Z330" s="83"/>
      <c r="AA330" s="83"/>
      <c r="AB330" s="83"/>
      <c r="AC330" s="83"/>
      <c r="AD330" s="83"/>
      <c r="AE330" s="83"/>
      <c r="AF330" s="83"/>
      <c r="AG330" s="83"/>
      <c r="AH330" s="83"/>
      <c r="AI330" s="83"/>
      <c r="AJ330" s="83"/>
      <c r="AK330" s="83"/>
      <c r="AL330" s="83"/>
      <c r="AM330" s="83"/>
      <c r="AN330" s="83"/>
      <c r="AO330" s="83"/>
      <c r="AP330" s="83"/>
      <c r="AQ330" s="112"/>
      <c r="AR330" s="47"/>
    </row>
    <row r="331" spans="2:44" s="46" customFormat="1" ht="57.75" customHeight="1">
      <c r="B331" s="541" t="s">
        <v>10</v>
      </c>
      <c r="C331" s="265" t="s">
        <v>763</v>
      </c>
      <c r="D331" s="542"/>
      <c r="E331" s="201" t="s">
        <v>767</v>
      </c>
      <c r="F331" s="543" t="s">
        <v>768</v>
      </c>
      <c r="G331" s="200">
        <v>2024</v>
      </c>
      <c r="H331" s="200">
        <v>2030</v>
      </c>
      <c r="I331" s="189">
        <f>SUM(I332:I334)</f>
        <v>2173420</v>
      </c>
      <c r="J331" s="189">
        <f>SUM(J332:J334)</f>
        <v>0</v>
      </c>
      <c r="K331" s="205">
        <f>I331+J331</f>
        <v>2173420</v>
      </c>
      <c r="L331" s="189">
        <f>SUM(L332:L334)</f>
        <v>7606970</v>
      </c>
      <c r="M331" s="189">
        <f>SUM(M332:M334)</f>
        <v>0</v>
      </c>
      <c r="N331" s="205">
        <f>L331+M331</f>
        <v>7606970</v>
      </c>
      <c r="O331" s="189">
        <f>SUM(O332:O334)</f>
        <v>7606970</v>
      </c>
      <c r="P331" s="189">
        <f>SUM(P332:P334)</f>
        <v>0</v>
      </c>
      <c r="Q331" s="205">
        <f>O331+P331</f>
        <v>7606970</v>
      </c>
      <c r="R331" s="189">
        <f>SUM(R332:R334)</f>
        <v>7606970</v>
      </c>
      <c r="S331" s="189">
        <f>SUM(S332:S334)</f>
        <v>0</v>
      </c>
      <c r="T331" s="205">
        <f>R331+S331</f>
        <v>7606970</v>
      </c>
      <c r="U331" s="189">
        <f>SUM(U332:U334)</f>
        <v>7606970</v>
      </c>
      <c r="V331" s="189">
        <f>SUM(V332:V334)</f>
        <v>0</v>
      </c>
      <c r="W331" s="205">
        <f>U331+V331</f>
        <v>7606970</v>
      </c>
      <c r="X331" s="205">
        <f>SUM(X332:X334)</f>
        <v>7606970</v>
      </c>
      <c r="Y331" s="205">
        <f>SUM(Y332:Y334)</f>
        <v>0</v>
      </c>
      <c r="Z331" s="205">
        <f>SUM(X331:Y331)</f>
        <v>7606970</v>
      </c>
      <c r="AA331" s="205">
        <f>SUM(AA332:AA334)</f>
        <v>7606970</v>
      </c>
      <c r="AB331" s="205">
        <f>SUM(AB332:AB334)</f>
        <v>0</v>
      </c>
      <c r="AC331" s="205">
        <f>SUM(AA331:AB331)</f>
        <v>7606970</v>
      </c>
      <c r="AD331" s="205">
        <f t="shared" ref="AD331:AE342" si="601">I331+L331+O331+R331+U331+X331+AA331</f>
        <v>47815240</v>
      </c>
      <c r="AE331" s="205">
        <f t="shared" si="601"/>
        <v>0</v>
      </c>
      <c r="AF331" s="205">
        <f t="shared" ref="AF331:AF334" si="602">AD331+AE331</f>
        <v>47815240</v>
      </c>
      <c r="AG331" s="189">
        <f>SUM(AG332:AG334)</f>
        <v>17387360</v>
      </c>
      <c r="AH331" s="189">
        <f>SUM(AH332:AH334)</f>
        <v>0</v>
      </c>
      <c r="AI331" s="205">
        <f>AG331+AH331</f>
        <v>17387360</v>
      </c>
      <c r="AJ331" s="189">
        <f>SUM(AJ332:AJ334)</f>
        <v>0</v>
      </c>
      <c r="AK331" s="189">
        <f>SUM(AK332:AK334)</f>
        <v>0</v>
      </c>
      <c r="AL331" s="205"/>
      <c r="AM331" s="205">
        <f>AJ331+AK331</f>
        <v>0</v>
      </c>
      <c r="AN331" s="189">
        <f>SUM(AN332:AN334)</f>
        <v>30427880</v>
      </c>
      <c r="AO331" s="189">
        <f>SUM(AO332:AO334)</f>
        <v>0</v>
      </c>
      <c r="AP331" s="205">
        <f>AN331+AO331</f>
        <v>30427880</v>
      </c>
      <c r="AQ331" s="193">
        <f t="shared" ref="AQ331:AQ398" si="603">SUM(AP331+AM331+AI331)-AF331</f>
        <v>0</v>
      </c>
      <c r="AR331" s="41"/>
    </row>
    <row r="332" spans="2:44" s="46" customFormat="1" ht="58.15" customHeight="1">
      <c r="B332" s="121" t="s">
        <v>140</v>
      </c>
      <c r="C332" s="353" t="s">
        <v>764</v>
      </c>
      <c r="D332" s="66"/>
      <c r="E332" s="39" t="s">
        <v>767</v>
      </c>
      <c r="F332" s="39" t="s">
        <v>768</v>
      </c>
      <c r="G332" s="71">
        <v>2024</v>
      </c>
      <c r="H332" s="71">
        <v>2030</v>
      </c>
      <c r="I332" s="7">
        <v>2173420</v>
      </c>
      <c r="J332" s="7">
        <v>0</v>
      </c>
      <c r="K332" s="266">
        <f>SUM(I332:J332)</f>
        <v>2173420</v>
      </c>
      <c r="L332" s="7">
        <v>2173420</v>
      </c>
      <c r="M332" s="7">
        <v>0</v>
      </c>
      <c r="N332" s="266">
        <f>SUM(L332:M332)</f>
        <v>2173420</v>
      </c>
      <c r="O332" s="7">
        <v>2173420</v>
      </c>
      <c r="P332" s="7">
        <v>0</v>
      </c>
      <c r="Q332" s="266">
        <f>SUM(O332:P332)</f>
        <v>2173420</v>
      </c>
      <c r="R332" s="7">
        <v>2173420</v>
      </c>
      <c r="S332" s="7">
        <v>0</v>
      </c>
      <c r="T332" s="266">
        <f>SUM(R332:S332)</f>
        <v>2173420</v>
      </c>
      <c r="U332" s="7">
        <v>2173420</v>
      </c>
      <c r="V332" s="7">
        <v>0</v>
      </c>
      <c r="W332" s="266">
        <f>SUM(U332:V332)</f>
        <v>2173420</v>
      </c>
      <c r="X332" s="7">
        <v>2173420</v>
      </c>
      <c r="Y332" s="7">
        <v>0</v>
      </c>
      <c r="Z332" s="266">
        <f t="shared" ref="Z332:Z334" si="604">SUM(X332:Y332)</f>
        <v>2173420</v>
      </c>
      <c r="AA332" s="7">
        <v>2173420</v>
      </c>
      <c r="AB332" s="7">
        <v>0</v>
      </c>
      <c r="AC332" s="266">
        <f t="shared" ref="AC332:AC334" si="605">SUM(AA332:AB332)</f>
        <v>2173420</v>
      </c>
      <c r="AD332" s="84">
        <f t="shared" si="601"/>
        <v>15213940</v>
      </c>
      <c r="AE332" s="84">
        <f t="shared" si="601"/>
        <v>0</v>
      </c>
      <c r="AF332" s="266">
        <f t="shared" si="602"/>
        <v>15213940</v>
      </c>
      <c r="AG332" s="84">
        <f>2173420*3</f>
        <v>6520260</v>
      </c>
      <c r="AH332" s="84">
        <v>0</v>
      </c>
      <c r="AI332" s="266">
        <f>SUM(AG332:AH332)</f>
        <v>6520260</v>
      </c>
      <c r="AJ332" s="84">
        <v>0</v>
      </c>
      <c r="AK332" s="84">
        <v>0</v>
      </c>
      <c r="AL332" s="84"/>
      <c r="AM332" s="266">
        <f t="shared" ref="AM332:AM341" si="606">AJ332+AK332</f>
        <v>0</v>
      </c>
      <c r="AN332" s="84">
        <f>2173420*4</f>
        <v>8693680</v>
      </c>
      <c r="AO332" s="84">
        <v>0</v>
      </c>
      <c r="AP332" s="84">
        <f>SUM(AN332:AO332)</f>
        <v>8693680</v>
      </c>
      <c r="AQ332" s="69">
        <f t="shared" si="603"/>
        <v>0</v>
      </c>
      <c r="AR332" s="41"/>
    </row>
    <row r="333" spans="2:44" s="46" customFormat="1" ht="70.150000000000006" customHeight="1">
      <c r="B333" s="121" t="s">
        <v>141</v>
      </c>
      <c r="C333" s="353" t="s">
        <v>765</v>
      </c>
      <c r="D333" s="66"/>
      <c r="E333" s="39" t="s">
        <v>767</v>
      </c>
      <c r="F333" s="39" t="s">
        <v>768</v>
      </c>
      <c r="G333" s="71">
        <v>2025</v>
      </c>
      <c r="H333" s="71">
        <v>2030</v>
      </c>
      <c r="I333" s="7">
        <v>0</v>
      </c>
      <c r="J333" s="7">
        <v>0</v>
      </c>
      <c r="K333" s="266">
        <f>SUM(I333:J333)</f>
        <v>0</v>
      </c>
      <c r="L333" s="7">
        <v>2173420</v>
      </c>
      <c r="M333" s="7">
        <v>0</v>
      </c>
      <c r="N333" s="266">
        <f>SUM(L333:M333)</f>
        <v>2173420</v>
      </c>
      <c r="O333" s="7">
        <v>2173420</v>
      </c>
      <c r="P333" s="84">
        <v>0</v>
      </c>
      <c r="Q333" s="266">
        <f>SUM(O333:P333)</f>
        <v>2173420</v>
      </c>
      <c r="R333" s="7">
        <v>2173420</v>
      </c>
      <c r="S333" s="84">
        <v>0</v>
      </c>
      <c r="T333" s="266">
        <f>SUM(R333:S333)</f>
        <v>2173420</v>
      </c>
      <c r="U333" s="7">
        <v>2173420</v>
      </c>
      <c r="V333" s="84">
        <v>0</v>
      </c>
      <c r="W333" s="266">
        <f>SUM(U333:V333)</f>
        <v>2173420</v>
      </c>
      <c r="X333" s="7">
        <v>2173420</v>
      </c>
      <c r="Y333" s="84">
        <v>0</v>
      </c>
      <c r="Z333" s="266">
        <f t="shared" si="604"/>
        <v>2173420</v>
      </c>
      <c r="AA333" s="7">
        <v>2173420</v>
      </c>
      <c r="AB333" s="84">
        <v>0</v>
      </c>
      <c r="AC333" s="266">
        <f t="shared" si="605"/>
        <v>2173420</v>
      </c>
      <c r="AD333" s="84">
        <f t="shared" si="601"/>
        <v>13040520</v>
      </c>
      <c r="AE333" s="84">
        <f t="shared" si="601"/>
        <v>0</v>
      </c>
      <c r="AF333" s="266">
        <f t="shared" si="602"/>
        <v>13040520</v>
      </c>
      <c r="AG333" s="84">
        <f>2173420*2</f>
        <v>4346840</v>
      </c>
      <c r="AH333" s="84">
        <v>0</v>
      </c>
      <c r="AI333" s="266">
        <f>SUM(AG333:AH333)</f>
        <v>4346840</v>
      </c>
      <c r="AJ333" s="84">
        <v>0</v>
      </c>
      <c r="AK333" s="84">
        <v>0</v>
      </c>
      <c r="AL333" s="84"/>
      <c r="AM333" s="266">
        <f t="shared" si="606"/>
        <v>0</v>
      </c>
      <c r="AN333" s="84">
        <f>2173420*4</f>
        <v>8693680</v>
      </c>
      <c r="AO333" s="84">
        <v>0</v>
      </c>
      <c r="AP333" s="84">
        <f>SUM(AN333:AO333)</f>
        <v>8693680</v>
      </c>
      <c r="AQ333" s="69">
        <f t="shared" si="603"/>
        <v>0</v>
      </c>
      <c r="AR333" s="41"/>
    </row>
    <row r="334" spans="2:44" s="46" customFormat="1" ht="61.9" customHeight="1">
      <c r="B334" s="121" t="s">
        <v>142</v>
      </c>
      <c r="C334" s="376" t="s">
        <v>766</v>
      </c>
      <c r="D334" s="66"/>
      <c r="E334" s="39" t="s">
        <v>98</v>
      </c>
      <c r="F334" s="39"/>
      <c r="G334" s="71">
        <v>2025</v>
      </c>
      <c r="H334" s="71">
        <v>2030</v>
      </c>
      <c r="I334" s="7">
        <v>0</v>
      </c>
      <c r="J334" s="7">
        <v>0</v>
      </c>
      <c r="K334" s="266">
        <f>SUM(I334:J334)</f>
        <v>0</v>
      </c>
      <c r="L334" s="7">
        <v>3260130</v>
      </c>
      <c r="M334" s="7">
        <v>0</v>
      </c>
      <c r="N334" s="266">
        <f>SUM(L334:M334)</f>
        <v>3260130</v>
      </c>
      <c r="O334" s="7">
        <v>3260130</v>
      </c>
      <c r="P334" s="7">
        <v>0</v>
      </c>
      <c r="Q334" s="266">
        <f>SUM(O334:P334)</f>
        <v>3260130</v>
      </c>
      <c r="R334" s="7">
        <v>3260130</v>
      </c>
      <c r="S334" s="7">
        <v>0</v>
      </c>
      <c r="T334" s="266">
        <f>SUM(R334:S334)</f>
        <v>3260130</v>
      </c>
      <c r="U334" s="7">
        <v>3260130</v>
      </c>
      <c r="V334" s="7">
        <v>0</v>
      </c>
      <c r="W334" s="266">
        <f>SUM(U334:V334)</f>
        <v>3260130</v>
      </c>
      <c r="X334" s="7">
        <v>3260130</v>
      </c>
      <c r="Y334" s="7">
        <v>0</v>
      </c>
      <c r="Z334" s="266">
        <f t="shared" si="604"/>
        <v>3260130</v>
      </c>
      <c r="AA334" s="7">
        <v>3260130</v>
      </c>
      <c r="AB334" s="7">
        <v>0</v>
      </c>
      <c r="AC334" s="266">
        <f t="shared" si="605"/>
        <v>3260130</v>
      </c>
      <c r="AD334" s="84">
        <f t="shared" si="601"/>
        <v>19560780</v>
      </c>
      <c r="AE334" s="84">
        <f t="shared" si="601"/>
        <v>0</v>
      </c>
      <c r="AF334" s="266">
        <f t="shared" si="602"/>
        <v>19560780</v>
      </c>
      <c r="AG334" s="84">
        <f>3260130*2</f>
        <v>6520260</v>
      </c>
      <c r="AH334" s="84">
        <v>0</v>
      </c>
      <c r="AI334" s="266">
        <f>SUM(AG334:AH334)</f>
        <v>6520260</v>
      </c>
      <c r="AJ334" s="84">
        <v>0</v>
      </c>
      <c r="AK334" s="84">
        <v>0</v>
      </c>
      <c r="AL334" s="84"/>
      <c r="AM334" s="266">
        <f t="shared" si="606"/>
        <v>0</v>
      </c>
      <c r="AN334" s="84">
        <f>3260130*4</f>
        <v>13040520</v>
      </c>
      <c r="AO334" s="84">
        <v>0</v>
      </c>
      <c r="AP334" s="84">
        <f>SUM(AN334:AO334)</f>
        <v>13040520</v>
      </c>
      <c r="AQ334" s="69">
        <f t="shared" si="603"/>
        <v>0</v>
      </c>
      <c r="AR334" s="41"/>
    </row>
    <row r="335" spans="2:44" s="46" customFormat="1" ht="60.6" customHeight="1">
      <c r="B335" s="222" t="s">
        <v>11</v>
      </c>
      <c r="C335" s="258" t="s">
        <v>1605</v>
      </c>
      <c r="D335" s="191"/>
      <c r="E335" s="192" t="s">
        <v>770</v>
      </c>
      <c r="F335" s="192" t="s">
        <v>768</v>
      </c>
      <c r="G335" s="192">
        <v>2024</v>
      </c>
      <c r="H335" s="192">
        <v>2030</v>
      </c>
      <c r="I335" s="189">
        <f>SUM(I336:I337)</f>
        <v>5433550</v>
      </c>
      <c r="J335" s="189">
        <f>SUM(J336:J337)</f>
        <v>0</v>
      </c>
      <c r="K335" s="205">
        <f>I335+J335</f>
        <v>5433550</v>
      </c>
      <c r="L335" s="189">
        <f>SUM(L336:L337)</f>
        <v>5433550</v>
      </c>
      <c r="M335" s="189">
        <f>SUM(M336:M337)</f>
        <v>0</v>
      </c>
      <c r="N335" s="205">
        <f>L335+M335</f>
        <v>5433550</v>
      </c>
      <c r="O335" s="189">
        <f>SUM(O336:O337)</f>
        <v>5433550</v>
      </c>
      <c r="P335" s="189">
        <f>SUM(P336:P337)</f>
        <v>0</v>
      </c>
      <c r="Q335" s="205">
        <f>O335+P335</f>
        <v>5433550</v>
      </c>
      <c r="R335" s="189">
        <f>SUM(R336:R337)</f>
        <v>5433550</v>
      </c>
      <c r="S335" s="189">
        <f>SUM(S336:S337)</f>
        <v>0</v>
      </c>
      <c r="T335" s="205">
        <f>R335+S335</f>
        <v>5433550</v>
      </c>
      <c r="U335" s="189">
        <f>SUM(U336:U337)</f>
        <v>5433550</v>
      </c>
      <c r="V335" s="189">
        <f>SUM(V336:V337)</f>
        <v>0</v>
      </c>
      <c r="W335" s="205">
        <f>U335+V335</f>
        <v>5433550</v>
      </c>
      <c r="X335" s="205">
        <f>SUM(X336:X337)</f>
        <v>5433550</v>
      </c>
      <c r="Y335" s="205">
        <f>SUM(Y336:Y337)</f>
        <v>0</v>
      </c>
      <c r="Z335" s="205">
        <f>SUM(X335:Y335)</f>
        <v>5433550</v>
      </c>
      <c r="AA335" s="205">
        <f>SUM(AA336:AA337)</f>
        <v>5433550</v>
      </c>
      <c r="AB335" s="205">
        <f>SUM(AB336:AB337)</f>
        <v>0</v>
      </c>
      <c r="AC335" s="205">
        <f>SUM(AA335:AB335)</f>
        <v>5433550</v>
      </c>
      <c r="AD335" s="205">
        <f t="shared" si="601"/>
        <v>38034850</v>
      </c>
      <c r="AE335" s="205">
        <f t="shared" si="601"/>
        <v>0</v>
      </c>
      <c r="AF335" s="205">
        <f t="shared" ref="AF335:AF341" si="607">AD335+AE335</f>
        <v>38034850</v>
      </c>
      <c r="AG335" s="189">
        <f>SUM(AG336:AG337)</f>
        <v>16300650</v>
      </c>
      <c r="AH335" s="189">
        <f>SUM(AH336:AH337)</f>
        <v>0</v>
      </c>
      <c r="AI335" s="205">
        <f>AG335+AH335</f>
        <v>16300650</v>
      </c>
      <c r="AJ335" s="189">
        <f>SUM(AJ336:AJ337)</f>
        <v>0</v>
      </c>
      <c r="AK335" s="189">
        <f>SUM(AK336:AK337)</f>
        <v>0</v>
      </c>
      <c r="AL335" s="205"/>
      <c r="AM335" s="205">
        <f>AJ335+AK335</f>
        <v>0</v>
      </c>
      <c r="AN335" s="189">
        <f>SUM(AN336:AN337)</f>
        <v>21734200</v>
      </c>
      <c r="AO335" s="189">
        <f>SUM(AO336:AO337)</f>
        <v>0</v>
      </c>
      <c r="AP335" s="205">
        <f>AN335+AO335</f>
        <v>21734200</v>
      </c>
      <c r="AQ335" s="193">
        <f t="shared" si="603"/>
        <v>0</v>
      </c>
      <c r="AR335" s="41"/>
    </row>
    <row r="336" spans="2:44" s="46" customFormat="1" ht="54.75" customHeight="1">
      <c r="B336" s="121" t="s">
        <v>143</v>
      </c>
      <c r="C336" s="353" t="s">
        <v>773</v>
      </c>
      <c r="D336" s="66"/>
      <c r="E336" s="39" t="s">
        <v>770</v>
      </c>
      <c r="F336" s="39" t="s">
        <v>768</v>
      </c>
      <c r="G336" s="71">
        <v>2024</v>
      </c>
      <c r="H336" s="71">
        <v>2030</v>
      </c>
      <c r="I336" s="7">
        <v>2173420</v>
      </c>
      <c r="J336" s="7">
        <v>0</v>
      </c>
      <c r="K336" s="266">
        <f t="shared" ref="K336:K337" si="608">SUM(I336:J336)</f>
        <v>2173420</v>
      </c>
      <c r="L336" s="7">
        <v>2173420</v>
      </c>
      <c r="M336" s="7">
        <v>0</v>
      </c>
      <c r="N336" s="266">
        <f t="shared" ref="N336:N337" si="609">SUM(L336:M336)</f>
        <v>2173420</v>
      </c>
      <c r="O336" s="7">
        <v>2173420</v>
      </c>
      <c r="P336" s="7">
        <v>0</v>
      </c>
      <c r="Q336" s="266">
        <f t="shared" ref="Q336:Q337" si="610">SUM(O336:P336)</f>
        <v>2173420</v>
      </c>
      <c r="R336" s="7">
        <v>2173420</v>
      </c>
      <c r="S336" s="7">
        <v>0</v>
      </c>
      <c r="T336" s="266">
        <f t="shared" ref="T336:T337" si="611">SUM(R336:S336)</f>
        <v>2173420</v>
      </c>
      <c r="U336" s="7">
        <v>2173420</v>
      </c>
      <c r="V336" s="7">
        <v>0</v>
      </c>
      <c r="W336" s="266">
        <f t="shared" ref="W336:W337" si="612">SUM(U336:V336)</f>
        <v>2173420</v>
      </c>
      <c r="X336" s="7">
        <v>2173420</v>
      </c>
      <c r="Y336" s="7">
        <v>0</v>
      </c>
      <c r="Z336" s="266">
        <f t="shared" ref="Z336:Z337" si="613">SUM(X336:Y336)</f>
        <v>2173420</v>
      </c>
      <c r="AA336" s="7">
        <v>2173420</v>
      </c>
      <c r="AB336" s="7">
        <v>0</v>
      </c>
      <c r="AC336" s="266">
        <f t="shared" ref="AC336:AC337" si="614">SUM(AA336:AB336)</f>
        <v>2173420</v>
      </c>
      <c r="AD336" s="84">
        <f t="shared" si="601"/>
        <v>15213940</v>
      </c>
      <c r="AE336" s="84">
        <f t="shared" si="601"/>
        <v>0</v>
      </c>
      <c r="AF336" s="266">
        <f t="shared" si="607"/>
        <v>15213940</v>
      </c>
      <c r="AG336" s="84">
        <f>2173420*3</f>
        <v>6520260</v>
      </c>
      <c r="AH336" s="84">
        <v>0</v>
      </c>
      <c r="AI336" s="266">
        <f t="shared" ref="AI336:AI337" si="615">SUM(AG336:AH336)</f>
        <v>6520260</v>
      </c>
      <c r="AJ336" s="84">
        <v>0</v>
      </c>
      <c r="AK336" s="84">
        <v>0</v>
      </c>
      <c r="AL336" s="84"/>
      <c r="AM336" s="266">
        <f t="shared" si="606"/>
        <v>0</v>
      </c>
      <c r="AN336" s="84">
        <f>2173420*4</f>
        <v>8693680</v>
      </c>
      <c r="AO336" s="84">
        <v>0</v>
      </c>
      <c r="AP336" s="266">
        <f t="shared" ref="AP336:AP337" si="616">SUM(AN336:AO336)</f>
        <v>8693680</v>
      </c>
      <c r="AQ336" s="69">
        <f t="shared" si="603"/>
        <v>0</v>
      </c>
      <c r="AR336" s="41"/>
    </row>
    <row r="337" spans="2:44" s="46" customFormat="1" ht="54.75" customHeight="1">
      <c r="B337" s="121" t="s">
        <v>144</v>
      </c>
      <c r="C337" s="353" t="s">
        <v>769</v>
      </c>
      <c r="D337" s="66"/>
      <c r="E337" s="39" t="s">
        <v>98</v>
      </c>
      <c r="F337" s="39" t="s">
        <v>768</v>
      </c>
      <c r="G337" s="71">
        <v>2024</v>
      </c>
      <c r="H337" s="71">
        <v>2030</v>
      </c>
      <c r="I337" s="7">
        <v>3260130</v>
      </c>
      <c r="J337" s="7">
        <v>0</v>
      </c>
      <c r="K337" s="266">
        <f t="shared" si="608"/>
        <v>3260130</v>
      </c>
      <c r="L337" s="7">
        <v>3260130</v>
      </c>
      <c r="M337" s="7">
        <v>0</v>
      </c>
      <c r="N337" s="266">
        <f t="shared" si="609"/>
        <v>3260130</v>
      </c>
      <c r="O337" s="7">
        <v>3260130</v>
      </c>
      <c r="P337" s="7">
        <v>0</v>
      </c>
      <c r="Q337" s="266">
        <f t="shared" si="610"/>
        <v>3260130</v>
      </c>
      <c r="R337" s="7">
        <v>3260130</v>
      </c>
      <c r="S337" s="7">
        <v>0</v>
      </c>
      <c r="T337" s="266">
        <f t="shared" si="611"/>
        <v>3260130</v>
      </c>
      <c r="U337" s="7">
        <v>3260130</v>
      </c>
      <c r="V337" s="7">
        <v>0</v>
      </c>
      <c r="W337" s="266">
        <f t="shared" si="612"/>
        <v>3260130</v>
      </c>
      <c r="X337" s="7">
        <v>3260130</v>
      </c>
      <c r="Y337" s="7">
        <v>0</v>
      </c>
      <c r="Z337" s="266">
        <f t="shared" si="613"/>
        <v>3260130</v>
      </c>
      <c r="AA337" s="7">
        <v>3260130</v>
      </c>
      <c r="AB337" s="7">
        <v>0</v>
      </c>
      <c r="AC337" s="266">
        <f t="shared" si="614"/>
        <v>3260130</v>
      </c>
      <c r="AD337" s="84">
        <f t="shared" si="601"/>
        <v>22820910</v>
      </c>
      <c r="AE337" s="84">
        <f t="shared" si="601"/>
        <v>0</v>
      </c>
      <c r="AF337" s="266">
        <f t="shared" si="607"/>
        <v>22820910</v>
      </c>
      <c r="AG337" s="84">
        <f>3260130*3</f>
        <v>9780390</v>
      </c>
      <c r="AH337" s="84">
        <v>0</v>
      </c>
      <c r="AI337" s="266">
        <f t="shared" si="615"/>
        <v>9780390</v>
      </c>
      <c r="AJ337" s="84">
        <v>0</v>
      </c>
      <c r="AK337" s="84">
        <v>0</v>
      </c>
      <c r="AL337" s="84"/>
      <c r="AM337" s="266">
        <f t="shared" si="606"/>
        <v>0</v>
      </c>
      <c r="AN337" s="84">
        <f>3260130*4</f>
        <v>13040520</v>
      </c>
      <c r="AO337" s="84">
        <v>0</v>
      </c>
      <c r="AP337" s="266">
        <f t="shared" si="616"/>
        <v>13040520</v>
      </c>
      <c r="AQ337" s="69">
        <f t="shared" si="603"/>
        <v>0</v>
      </c>
      <c r="AR337" s="41"/>
    </row>
    <row r="338" spans="2:44" s="46" customFormat="1" ht="65.25" customHeight="1">
      <c r="B338" s="222" t="s">
        <v>12</v>
      </c>
      <c r="C338" s="258" t="s">
        <v>771</v>
      </c>
      <c r="D338" s="191"/>
      <c r="E338" s="192" t="s">
        <v>466</v>
      </c>
      <c r="F338" s="186" t="s">
        <v>98</v>
      </c>
      <c r="G338" s="192">
        <v>2022</v>
      </c>
      <c r="H338" s="192">
        <v>2026</v>
      </c>
      <c r="I338" s="189">
        <f>SUM(I339:I341)</f>
        <v>9780390</v>
      </c>
      <c r="J338" s="189">
        <f>SUM(J339:J341)</f>
        <v>0</v>
      </c>
      <c r="K338" s="205">
        <f>I338+J338</f>
        <v>9780390</v>
      </c>
      <c r="L338" s="189">
        <f>SUM(L339:L341)</f>
        <v>9780390</v>
      </c>
      <c r="M338" s="189">
        <f>SUM(M339:M341)</f>
        <v>0</v>
      </c>
      <c r="N338" s="205">
        <f>L338+M338</f>
        <v>9780390</v>
      </c>
      <c r="O338" s="189">
        <f>SUM(O339:O341)</f>
        <v>9780390</v>
      </c>
      <c r="P338" s="189">
        <f>SUM(P339:P341)</f>
        <v>0</v>
      </c>
      <c r="Q338" s="205">
        <f>O338+P338</f>
        <v>9780390</v>
      </c>
      <c r="R338" s="189">
        <f>SUM(R339:R341)</f>
        <v>9780390</v>
      </c>
      <c r="S338" s="189">
        <f>SUM(S339:S341)</f>
        <v>0</v>
      </c>
      <c r="T338" s="205">
        <f>R338+S338</f>
        <v>9780390</v>
      </c>
      <c r="U338" s="189">
        <f>SUM(U339:U341)</f>
        <v>9780390</v>
      </c>
      <c r="V338" s="189">
        <f>SUM(V339:V341)</f>
        <v>0</v>
      </c>
      <c r="W338" s="205">
        <f>U338+V338</f>
        <v>9780390</v>
      </c>
      <c r="X338" s="205">
        <f>SUM(X339:X341)</f>
        <v>9780390</v>
      </c>
      <c r="Y338" s="205">
        <f>SUM(Y339:Y341)</f>
        <v>0</v>
      </c>
      <c r="Z338" s="205">
        <f>SUM(X338:Y338)</f>
        <v>9780390</v>
      </c>
      <c r="AA338" s="205">
        <f>SUM(AA339:AA341)</f>
        <v>9780390</v>
      </c>
      <c r="AB338" s="205">
        <f>SUM(AB339:AB341)</f>
        <v>0</v>
      </c>
      <c r="AC338" s="205">
        <f>SUM(AA338:AB338)</f>
        <v>9780390</v>
      </c>
      <c r="AD338" s="205">
        <f t="shared" si="601"/>
        <v>68462730</v>
      </c>
      <c r="AE338" s="205">
        <f t="shared" si="601"/>
        <v>0</v>
      </c>
      <c r="AF338" s="205">
        <f t="shared" si="607"/>
        <v>68462730</v>
      </c>
      <c r="AG338" s="189">
        <f>SUM(AG339:AG341)</f>
        <v>29341170</v>
      </c>
      <c r="AH338" s="189">
        <f>SUM(AH339:AH341)</f>
        <v>0</v>
      </c>
      <c r="AI338" s="205">
        <f>AG338+AH338</f>
        <v>29341170</v>
      </c>
      <c r="AJ338" s="189">
        <f>SUM(AJ339:AJ341)</f>
        <v>0</v>
      </c>
      <c r="AK338" s="189">
        <f>SUM(AK339:AK341)</f>
        <v>0</v>
      </c>
      <c r="AL338" s="205"/>
      <c r="AM338" s="205">
        <f>AJ338+AK338</f>
        <v>0</v>
      </c>
      <c r="AN338" s="189">
        <f>SUM(AN339:AN341)</f>
        <v>39121560</v>
      </c>
      <c r="AO338" s="189">
        <f>SUM(AO339:AO341)</f>
        <v>0</v>
      </c>
      <c r="AP338" s="205">
        <f>AN338+AO338</f>
        <v>39121560</v>
      </c>
      <c r="AQ338" s="211">
        <f t="shared" si="603"/>
        <v>0</v>
      </c>
      <c r="AR338" s="41"/>
    </row>
    <row r="339" spans="2:44" s="46" customFormat="1" ht="65.25" customHeight="1">
      <c r="B339" s="121" t="s">
        <v>145</v>
      </c>
      <c r="C339" s="353" t="s">
        <v>772</v>
      </c>
      <c r="D339" s="66"/>
      <c r="E339" s="39" t="s">
        <v>466</v>
      </c>
      <c r="F339" s="39"/>
      <c r="G339" s="71">
        <v>2024</v>
      </c>
      <c r="H339" s="71">
        <v>2030</v>
      </c>
      <c r="I339" s="7">
        <v>3260130</v>
      </c>
      <c r="J339" s="7">
        <v>0</v>
      </c>
      <c r="K339" s="266">
        <f t="shared" ref="K339:K355" si="617">SUM(I339:J339)</f>
        <v>3260130</v>
      </c>
      <c r="L339" s="7">
        <v>3260130</v>
      </c>
      <c r="M339" s="7">
        <v>0</v>
      </c>
      <c r="N339" s="266">
        <f t="shared" ref="N339:N355" si="618">SUM(L339:M339)</f>
        <v>3260130</v>
      </c>
      <c r="O339" s="7">
        <v>3260130</v>
      </c>
      <c r="P339" s="7">
        <v>0</v>
      </c>
      <c r="Q339" s="266">
        <f t="shared" ref="Q339:Q355" si="619">SUM(O339:P339)</f>
        <v>3260130</v>
      </c>
      <c r="R339" s="7">
        <v>3260130</v>
      </c>
      <c r="S339" s="7">
        <v>0</v>
      </c>
      <c r="T339" s="266">
        <f t="shared" ref="T339:T341" si="620">R339+S339</f>
        <v>3260130</v>
      </c>
      <c r="U339" s="7">
        <v>3260130</v>
      </c>
      <c r="V339" s="7">
        <v>0</v>
      </c>
      <c r="W339" s="266">
        <f t="shared" ref="W339:W341" si="621">U339+V339</f>
        <v>3260130</v>
      </c>
      <c r="X339" s="7">
        <v>3260130</v>
      </c>
      <c r="Y339" s="7">
        <v>0</v>
      </c>
      <c r="Z339" s="266">
        <f t="shared" ref="Z339:Z341" si="622">SUM(X339:Y339)</f>
        <v>3260130</v>
      </c>
      <c r="AA339" s="7">
        <v>3260130</v>
      </c>
      <c r="AB339" s="7">
        <v>0</v>
      </c>
      <c r="AC339" s="266">
        <f t="shared" ref="AC339:AC341" si="623">SUM(AA339:AB339)</f>
        <v>3260130</v>
      </c>
      <c r="AD339" s="84">
        <f t="shared" si="601"/>
        <v>22820910</v>
      </c>
      <c r="AE339" s="84">
        <f t="shared" si="601"/>
        <v>0</v>
      </c>
      <c r="AF339" s="266">
        <f t="shared" si="607"/>
        <v>22820910</v>
      </c>
      <c r="AG339" s="84">
        <f>3260130*3</f>
        <v>9780390</v>
      </c>
      <c r="AH339" s="84">
        <v>0</v>
      </c>
      <c r="AI339" s="266">
        <f t="shared" ref="AI339:AI348" si="624">SUM(AG339:AH339)</f>
        <v>9780390</v>
      </c>
      <c r="AJ339" s="122">
        <v>0</v>
      </c>
      <c r="AK339" s="122">
        <v>0</v>
      </c>
      <c r="AL339" s="84"/>
      <c r="AM339" s="266">
        <f t="shared" si="606"/>
        <v>0</v>
      </c>
      <c r="AN339" s="84">
        <f>3260130*4</f>
        <v>13040520</v>
      </c>
      <c r="AO339" s="84">
        <v>0</v>
      </c>
      <c r="AP339" s="266">
        <f t="shared" ref="AP339:AP355" si="625">SUM(AN339:AO339)</f>
        <v>13040520</v>
      </c>
      <c r="AQ339" s="170">
        <f t="shared" si="603"/>
        <v>0</v>
      </c>
      <c r="AR339" s="41"/>
    </row>
    <row r="340" spans="2:44" s="46" customFormat="1" ht="65.25" customHeight="1">
      <c r="B340" s="121" t="s">
        <v>146</v>
      </c>
      <c r="C340" s="353" t="s">
        <v>722</v>
      </c>
      <c r="D340" s="66"/>
      <c r="E340" s="39" t="s">
        <v>466</v>
      </c>
      <c r="F340" s="39"/>
      <c r="G340" s="71">
        <v>2024</v>
      </c>
      <c r="H340" s="71">
        <v>2030</v>
      </c>
      <c r="I340" s="7">
        <v>3260130</v>
      </c>
      <c r="J340" s="7">
        <v>0</v>
      </c>
      <c r="K340" s="266">
        <f t="shared" si="617"/>
        <v>3260130</v>
      </c>
      <c r="L340" s="7">
        <v>3260130</v>
      </c>
      <c r="M340" s="7">
        <v>0</v>
      </c>
      <c r="N340" s="266">
        <f t="shared" si="618"/>
        <v>3260130</v>
      </c>
      <c r="O340" s="7">
        <v>3260130</v>
      </c>
      <c r="P340" s="7">
        <v>0</v>
      </c>
      <c r="Q340" s="266">
        <f t="shared" si="619"/>
        <v>3260130</v>
      </c>
      <c r="R340" s="7">
        <v>3260130</v>
      </c>
      <c r="S340" s="7">
        <v>0</v>
      </c>
      <c r="T340" s="266">
        <f t="shared" si="620"/>
        <v>3260130</v>
      </c>
      <c r="U340" s="7">
        <v>3260130</v>
      </c>
      <c r="V340" s="7">
        <v>0</v>
      </c>
      <c r="W340" s="266">
        <f t="shared" si="621"/>
        <v>3260130</v>
      </c>
      <c r="X340" s="7">
        <v>3260130</v>
      </c>
      <c r="Y340" s="7">
        <v>0</v>
      </c>
      <c r="Z340" s="266">
        <f t="shared" si="622"/>
        <v>3260130</v>
      </c>
      <c r="AA340" s="7">
        <v>3260130</v>
      </c>
      <c r="AB340" s="7">
        <v>0</v>
      </c>
      <c r="AC340" s="266">
        <f t="shared" si="623"/>
        <v>3260130</v>
      </c>
      <c r="AD340" s="84">
        <f t="shared" si="601"/>
        <v>22820910</v>
      </c>
      <c r="AE340" s="84">
        <f t="shared" si="601"/>
        <v>0</v>
      </c>
      <c r="AF340" s="266">
        <f t="shared" si="607"/>
        <v>22820910</v>
      </c>
      <c r="AG340" s="84">
        <f t="shared" ref="AG340:AG341" si="626">3260130*3</f>
        <v>9780390</v>
      </c>
      <c r="AH340" s="84">
        <v>0</v>
      </c>
      <c r="AI340" s="266">
        <f t="shared" si="624"/>
        <v>9780390</v>
      </c>
      <c r="AJ340" s="122">
        <v>0</v>
      </c>
      <c r="AK340" s="122">
        <v>0</v>
      </c>
      <c r="AL340" s="84"/>
      <c r="AM340" s="266">
        <f t="shared" si="606"/>
        <v>0</v>
      </c>
      <c r="AN340" s="84">
        <f t="shared" ref="AN340:AN341" si="627">3260130*4</f>
        <v>13040520</v>
      </c>
      <c r="AO340" s="84">
        <v>0</v>
      </c>
      <c r="AP340" s="266">
        <f t="shared" si="625"/>
        <v>13040520</v>
      </c>
      <c r="AQ340" s="170">
        <f t="shared" si="603"/>
        <v>0</v>
      </c>
      <c r="AR340" s="41"/>
    </row>
    <row r="341" spans="2:44" s="46" customFormat="1" ht="65.25" customHeight="1">
      <c r="B341" s="251" t="s">
        <v>147</v>
      </c>
      <c r="C341" s="354" t="s">
        <v>723</v>
      </c>
      <c r="D341" s="768"/>
      <c r="E341" s="167" t="s">
        <v>466</v>
      </c>
      <c r="F341" s="167" t="s">
        <v>98</v>
      </c>
      <c r="G341" s="447">
        <v>2024</v>
      </c>
      <c r="H341" s="447">
        <v>2030</v>
      </c>
      <c r="I341" s="169">
        <v>3260130</v>
      </c>
      <c r="J341" s="169">
        <v>0</v>
      </c>
      <c r="K341" s="266">
        <f t="shared" si="617"/>
        <v>3260130</v>
      </c>
      <c r="L341" s="7">
        <v>3260130</v>
      </c>
      <c r="M341" s="7">
        <v>0</v>
      </c>
      <c r="N341" s="266">
        <f t="shared" si="618"/>
        <v>3260130</v>
      </c>
      <c r="O341" s="7">
        <v>3260130</v>
      </c>
      <c r="P341" s="7">
        <v>0</v>
      </c>
      <c r="Q341" s="266">
        <f t="shared" si="619"/>
        <v>3260130</v>
      </c>
      <c r="R341" s="7">
        <v>3260130</v>
      </c>
      <c r="S341" s="7">
        <v>0</v>
      </c>
      <c r="T341" s="266">
        <f t="shared" si="620"/>
        <v>3260130</v>
      </c>
      <c r="U341" s="7">
        <v>3260130</v>
      </c>
      <c r="V341" s="7">
        <v>0</v>
      </c>
      <c r="W341" s="266">
        <f t="shared" si="621"/>
        <v>3260130</v>
      </c>
      <c r="X341" s="7">
        <v>3260130</v>
      </c>
      <c r="Y341" s="7">
        <v>0</v>
      </c>
      <c r="Z341" s="266">
        <f t="shared" si="622"/>
        <v>3260130</v>
      </c>
      <c r="AA341" s="7">
        <v>3260130</v>
      </c>
      <c r="AB341" s="7">
        <v>0</v>
      </c>
      <c r="AC341" s="266">
        <f t="shared" si="623"/>
        <v>3260130</v>
      </c>
      <c r="AD341" s="84">
        <f t="shared" si="601"/>
        <v>22820910</v>
      </c>
      <c r="AE341" s="84">
        <f t="shared" si="601"/>
        <v>0</v>
      </c>
      <c r="AF341" s="266">
        <f t="shared" si="607"/>
        <v>22820910</v>
      </c>
      <c r="AG341" s="84">
        <f t="shared" si="626"/>
        <v>9780390</v>
      </c>
      <c r="AH341" s="84">
        <v>0</v>
      </c>
      <c r="AI341" s="266">
        <f t="shared" si="624"/>
        <v>9780390</v>
      </c>
      <c r="AJ341" s="122">
        <v>0</v>
      </c>
      <c r="AK341" s="122">
        <v>0</v>
      </c>
      <c r="AL341" s="84"/>
      <c r="AM341" s="266">
        <f t="shared" si="606"/>
        <v>0</v>
      </c>
      <c r="AN341" s="84">
        <f t="shared" si="627"/>
        <v>13040520</v>
      </c>
      <c r="AO341" s="84">
        <v>0</v>
      </c>
      <c r="AP341" s="266">
        <f t="shared" si="625"/>
        <v>13040520</v>
      </c>
      <c r="AQ341" s="170">
        <f t="shared" si="603"/>
        <v>0</v>
      </c>
      <c r="AR341" s="41"/>
    </row>
    <row r="342" spans="2:44" s="46" customFormat="1" ht="65.25" customHeight="1">
      <c r="B342" s="222" t="s">
        <v>172</v>
      </c>
      <c r="C342" s="258" t="s">
        <v>774</v>
      </c>
      <c r="D342" s="191"/>
      <c r="E342" s="398" t="s">
        <v>466</v>
      </c>
      <c r="F342" s="398" t="s">
        <v>98</v>
      </c>
      <c r="G342" s="185">
        <v>2024</v>
      </c>
      <c r="H342" s="185">
        <v>2030</v>
      </c>
      <c r="I342" s="189">
        <f>SUM(I343:I348)</f>
        <v>1086710</v>
      </c>
      <c r="J342" s="233">
        <f>SUM(J343:J348)</f>
        <v>0</v>
      </c>
      <c r="K342" s="233">
        <f t="shared" si="617"/>
        <v>1086710</v>
      </c>
      <c r="L342" s="233">
        <f>SUM(L343:L348)</f>
        <v>7606970</v>
      </c>
      <c r="M342" s="233">
        <f>SUM(M343:M348)</f>
        <v>0</v>
      </c>
      <c r="N342" s="233">
        <f t="shared" si="618"/>
        <v>7606970</v>
      </c>
      <c r="O342" s="233">
        <f>SUM(O343:O348)</f>
        <v>4346840</v>
      </c>
      <c r="P342" s="233">
        <f>SUM(P343:P348)</f>
        <v>0</v>
      </c>
      <c r="Q342" s="233">
        <f t="shared" si="619"/>
        <v>4346840</v>
      </c>
      <c r="R342" s="233">
        <f>SUM(R343:R348)</f>
        <v>1086710</v>
      </c>
      <c r="S342" s="233">
        <f>SUM(S343:S348)</f>
        <v>0</v>
      </c>
      <c r="T342" s="233">
        <f t="shared" ref="T342:T355" si="628">SUM(R342:S342)</f>
        <v>1086710</v>
      </c>
      <c r="U342" s="233">
        <f>SUM(U343:U348)</f>
        <v>1086710</v>
      </c>
      <c r="V342" s="233">
        <f>SUM(V343:V348)</f>
        <v>0</v>
      </c>
      <c r="W342" s="233">
        <f t="shared" ref="W342:W355" si="629">SUM(U342:V342)</f>
        <v>1086710</v>
      </c>
      <c r="X342" s="233">
        <f>SUM(X343:X348)</f>
        <v>1086710</v>
      </c>
      <c r="Y342" s="233">
        <f>SUM(Y343:Y348)</f>
        <v>0</v>
      </c>
      <c r="Z342" s="233">
        <f>SUM(X342:Y342)</f>
        <v>1086710</v>
      </c>
      <c r="AA342" s="233">
        <f>SUM(AA343:AA348)</f>
        <v>1086710</v>
      </c>
      <c r="AB342" s="233">
        <f>SUM(AB343:AB348)</f>
        <v>0</v>
      </c>
      <c r="AC342" s="233">
        <f>SUM(AA342:AB342)</f>
        <v>1086710</v>
      </c>
      <c r="AD342" s="233">
        <f t="shared" si="601"/>
        <v>17387360</v>
      </c>
      <c r="AE342" s="233">
        <f t="shared" si="601"/>
        <v>0</v>
      </c>
      <c r="AF342" s="233">
        <f t="shared" ref="AF342:AF355" si="630">SUM(AD342:AE342)</f>
        <v>17387360</v>
      </c>
      <c r="AG342" s="233">
        <f>SUM(AG343:AG348)</f>
        <v>13040520</v>
      </c>
      <c r="AH342" s="233">
        <f>SUM(AH343:AH348)</f>
        <v>0</v>
      </c>
      <c r="AI342" s="233">
        <f t="shared" si="624"/>
        <v>13040520</v>
      </c>
      <c r="AJ342" s="233">
        <f>SUM(AJ343:AJ348)</f>
        <v>0</v>
      </c>
      <c r="AK342" s="233">
        <f>SUM(AK343:AK348)</f>
        <v>0</v>
      </c>
      <c r="AL342" s="233"/>
      <c r="AM342" s="233">
        <f t="shared" ref="AM342:AM355" si="631">AJ342+AK342</f>
        <v>0</v>
      </c>
      <c r="AN342" s="233">
        <f>SUM(AN343:AN348)</f>
        <v>4346840</v>
      </c>
      <c r="AO342" s="233">
        <f>SUM(AO343:AO348)</f>
        <v>0</v>
      </c>
      <c r="AP342" s="233">
        <f t="shared" si="625"/>
        <v>4346840</v>
      </c>
      <c r="AQ342" s="234">
        <f t="shared" si="603"/>
        <v>0</v>
      </c>
      <c r="AR342" s="41"/>
    </row>
    <row r="343" spans="2:44" s="46" customFormat="1" ht="65.25" customHeight="1">
      <c r="B343" s="121" t="s">
        <v>174</v>
      </c>
      <c r="C343" s="353" t="s">
        <v>775</v>
      </c>
      <c r="D343" s="66"/>
      <c r="E343" s="39" t="s">
        <v>466</v>
      </c>
      <c r="F343" s="39" t="s">
        <v>98</v>
      </c>
      <c r="G343" s="345">
        <v>2025</v>
      </c>
      <c r="H343" s="345">
        <v>2025</v>
      </c>
      <c r="I343" s="7">
        <v>0</v>
      </c>
      <c r="J343" s="7">
        <v>0</v>
      </c>
      <c r="K343" s="262">
        <f t="shared" si="617"/>
        <v>0</v>
      </c>
      <c r="L343" s="315">
        <f>2173420*2</f>
        <v>4346840</v>
      </c>
      <c r="M343" s="7">
        <v>0</v>
      </c>
      <c r="N343" s="262">
        <f t="shared" si="618"/>
        <v>4346840</v>
      </c>
      <c r="O343" s="84">
        <v>0</v>
      </c>
      <c r="P343" s="84">
        <v>0</v>
      </c>
      <c r="Q343" s="262">
        <f t="shared" si="619"/>
        <v>0</v>
      </c>
      <c r="R343" s="84">
        <v>0</v>
      </c>
      <c r="S343" s="84">
        <v>0</v>
      </c>
      <c r="T343" s="262">
        <f t="shared" si="628"/>
        <v>0</v>
      </c>
      <c r="U343" s="84">
        <v>0</v>
      </c>
      <c r="V343" s="84">
        <v>0</v>
      </c>
      <c r="W343" s="266">
        <f t="shared" si="629"/>
        <v>0</v>
      </c>
      <c r="X343" s="84">
        <v>0</v>
      </c>
      <c r="Y343" s="84">
        <v>0</v>
      </c>
      <c r="Z343" s="266">
        <f t="shared" ref="Z343:Z348" si="632">SUM(X343:Y343)</f>
        <v>0</v>
      </c>
      <c r="AA343" s="84">
        <v>0</v>
      </c>
      <c r="AB343" s="84">
        <v>0</v>
      </c>
      <c r="AC343" s="266">
        <f t="shared" ref="AC343:AC348" si="633">SUM(AA343:AB343)</f>
        <v>0</v>
      </c>
      <c r="AD343" s="84">
        <f t="shared" ref="AD343:AE359" si="634">I343+L343+O343+R343+U343+X343+AA343</f>
        <v>4346840</v>
      </c>
      <c r="AE343" s="84">
        <f t="shared" si="634"/>
        <v>0</v>
      </c>
      <c r="AF343" s="266">
        <f t="shared" si="630"/>
        <v>4346840</v>
      </c>
      <c r="AG343" s="84">
        <v>4346840</v>
      </c>
      <c r="AH343" s="84">
        <v>0</v>
      </c>
      <c r="AI343" s="262">
        <f t="shared" si="624"/>
        <v>4346840</v>
      </c>
      <c r="AJ343" s="122">
        <v>0</v>
      </c>
      <c r="AK343" s="122">
        <v>0</v>
      </c>
      <c r="AL343" s="84"/>
      <c r="AM343" s="262">
        <f t="shared" si="631"/>
        <v>0</v>
      </c>
      <c r="AN343" s="84">
        <v>0</v>
      </c>
      <c r="AO343" s="84">
        <v>0</v>
      </c>
      <c r="AP343" s="266">
        <f t="shared" si="625"/>
        <v>0</v>
      </c>
      <c r="AQ343" s="170">
        <f>SUM(AP343+AM343+AI343)-AF343</f>
        <v>0</v>
      </c>
      <c r="AR343" s="41"/>
    </row>
    <row r="344" spans="2:44" s="46" customFormat="1" ht="34.9" customHeight="1">
      <c r="B344" s="121" t="s">
        <v>175</v>
      </c>
      <c r="C344" s="353" t="s">
        <v>727</v>
      </c>
      <c r="D344" s="66"/>
      <c r="E344" s="39" t="s">
        <v>466</v>
      </c>
      <c r="F344" s="39" t="s">
        <v>98</v>
      </c>
      <c r="G344" s="345">
        <v>2025</v>
      </c>
      <c r="H344" s="345">
        <v>2025</v>
      </c>
      <c r="I344" s="7">
        <v>0</v>
      </c>
      <c r="J344" s="7">
        <v>0</v>
      </c>
      <c r="K344" s="262">
        <f t="shared" si="617"/>
        <v>0</v>
      </c>
      <c r="L344" s="7">
        <v>2173420</v>
      </c>
      <c r="M344" s="7">
        <v>0</v>
      </c>
      <c r="N344" s="262">
        <f t="shared" si="618"/>
        <v>2173420</v>
      </c>
      <c r="O344" s="84">
        <v>0</v>
      </c>
      <c r="P344" s="84">
        <v>0</v>
      </c>
      <c r="Q344" s="262">
        <f t="shared" si="619"/>
        <v>0</v>
      </c>
      <c r="R344" s="84">
        <v>0</v>
      </c>
      <c r="S344" s="84">
        <v>0</v>
      </c>
      <c r="T344" s="262">
        <f t="shared" si="628"/>
        <v>0</v>
      </c>
      <c r="U344" s="84">
        <v>0</v>
      </c>
      <c r="V344" s="84">
        <v>0</v>
      </c>
      <c r="W344" s="266">
        <f t="shared" si="629"/>
        <v>0</v>
      </c>
      <c r="X344" s="84">
        <v>0</v>
      </c>
      <c r="Y344" s="84">
        <v>0</v>
      </c>
      <c r="Z344" s="266">
        <f t="shared" si="632"/>
        <v>0</v>
      </c>
      <c r="AA344" s="84">
        <v>0</v>
      </c>
      <c r="AB344" s="84">
        <v>0</v>
      </c>
      <c r="AC344" s="266">
        <f t="shared" si="633"/>
        <v>0</v>
      </c>
      <c r="AD344" s="84">
        <f t="shared" si="634"/>
        <v>2173420</v>
      </c>
      <c r="AE344" s="84">
        <f t="shared" si="634"/>
        <v>0</v>
      </c>
      <c r="AF344" s="266">
        <f t="shared" si="630"/>
        <v>2173420</v>
      </c>
      <c r="AG344" s="84">
        <v>2173420</v>
      </c>
      <c r="AH344" s="84">
        <v>0</v>
      </c>
      <c r="AI344" s="262">
        <f t="shared" si="624"/>
        <v>2173420</v>
      </c>
      <c r="AJ344" s="122">
        <v>0</v>
      </c>
      <c r="AK344" s="122">
        <v>0</v>
      </c>
      <c r="AL344" s="84"/>
      <c r="AM344" s="266">
        <f t="shared" si="631"/>
        <v>0</v>
      </c>
      <c r="AN344" s="84">
        <v>0</v>
      </c>
      <c r="AO344" s="84">
        <v>0</v>
      </c>
      <c r="AP344" s="266">
        <f t="shared" si="625"/>
        <v>0</v>
      </c>
      <c r="AQ344" s="170">
        <f t="shared" si="603"/>
        <v>0</v>
      </c>
      <c r="AR344" s="41"/>
    </row>
    <row r="345" spans="2:44" s="46" customFormat="1" ht="65.25" customHeight="1">
      <c r="B345" s="121" t="s">
        <v>235</v>
      </c>
      <c r="C345" s="353" t="s">
        <v>728</v>
      </c>
      <c r="D345" s="66"/>
      <c r="E345" s="39" t="s">
        <v>466</v>
      </c>
      <c r="F345" s="39"/>
      <c r="G345" s="345">
        <v>2026</v>
      </c>
      <c r="H345" s="345">
        <v>2026</v>
      </c>
      <c r="I345" s="7">
        <v>0</v>
      </c>
      <c r="J345" s="7">
        <v>0</v>
      </c>
      <c r="K345" s="262">
        <f t="shared" si="617"/>
        <v>0</v>
      </c>
      <c r="L345" s="7">
        <v>0</v>
      </c>
      <c r="M345" s="7">
        <v>0</v>
      </c>
      <c r="N345" s="262">
        <f t="shared" si="618"/>
        <v>0</v>
      </c>
      <c r="O345" s="84">
        <v>3260130</v>
      </c>
      <c r="P345" s="84">
        <v>0</v>
      </c>
      <c r="Q345" s="262">
        <f t="shared" si="619"/>
        <v>3260130</v>
      </c>
      <c r="R345" s="84">
        <v>0</v>
      </c>
      <c r="S345" s="84">
        <v>0</v>
      </c>
      <c r="T345" s="262">
        <f t="shared" si="628"/>
        <v>0</v>
      </c>
      <c r="U345" s="84">
        <v>0</v>
      </c>
      <c r="V345" s="84">
        <v>0</v>
      </c>
      <c r="W345" s="266">
        <f t="shared" si="629"/>
        <v>0</v>
      </c>
      <c r="X345" s="84">
        <v>0</v>
      </c>
      <c r="Y345" s="84">
        <v>0</v>
      </c>
      <c r="Z345" s="266">
        <f t="shared" si="632"/>
        <v>0</v>
      </c>
      <c r="AA345" s="84">
        <v>0</v>
      </c>
      <c r="AB345" s="84">
        <v>0</v>
      </c>
      <c r="AC345" s="266">
        <f t="shared" si="633"/>
        <v>0</v>
      </c>
      <c r="AD345" s="84">
        <f t="shared" si="634"/>
        <v>3260130</v>
      </c>
      <c r="AE345" s="84">
        <f t="shared" si="634"/>
        <v>0</v>
      </c>
      <c r="AF345" s="266">
        <f t="shared" si="630"/>
        <v>3260130</v>
      </c>
      <c r="AG345" s="84">
        <v>3260130</v>
      </c>
      <c r="AH345" s="84">
        <v>0</v>
      </c>
      <c r="AI345" s="262">
        <f t="shared" si="624"/>
        <v>3260130</v>
      </c>
      <c r="AJ345" s="122">
        <v>0</v>
      </c>
      <c r="AK345" s="122">
        <v>0</v>
      </c>
      <c r="AL345" s="84"/>
      <c r="AM345" s="266">
        <f t="shared" si="631"/>
        <v>0</v>
      </c>
      <c r="AN345" s="84">
        <v>0</v>
      </c>
      <c r="AO345" s="84">
        <v>0</v>
      </c>
      <c r="AP345" s="266">
        <f t="shared" si="625"/>
        <v>0</v>
      </c>
      <c r="AQ345" s="240">
        <f t="shared" si="603"/>
        <v>0</v>
      </c>
      <c r="AR345" s="41"/>
    </row>
    <row r="346" spans="2:44" s="46" customFormat="1" ht="65.25" customHeight="1">
      <c r="B346" s="121" t="s">
        <v>239</v>
      </c>
      <c r="C346" s="353" t="s">
        <v>776</v>
      </c>
      <c r="D346" s="66"/>
      <c r="E346" s="39" t="s">
        <v>466</v>
      </c>
      <c r="F346" s="39"/>
      <c r="G346" s="345">
        <v>2024</v>
      </c>
      <c r="H346" s="345">
        <v>2030</v>
      </c>
      <c r="I346" s="7">
        <v>1086710</v>
      </c>
      <c r="J346" s="7">
        <v>0</v>
      </c>
      <c r="K346" s="262">
        <f t="shared" si="617"/>
        <v>1086710</v>
      </c>
      <c r="L346" s="7">
        <v>1086710</v>
      </c>
      <c r="M346" s="7">
        <v>0</v>
      </c>
      <c r="N346" s="262">
        <f t="shared" si="618"/>
        <v>1086710</v>
      </c>
      <c r="O346" s="7">
        <v>1086710</v>
      </c>
      <c r="P346" s="7">
        <v>0</v>
      </c>
      <c r="Q346" s="262">
        <f t="shared" si="619"/>
        <v>1086710</v>
      </c>
      <c r="R346" s="7">
        <v>1086710</v>
      </c>
      <c r="S346" s="7">
        <v>0</v>
      </c>
      <c r="T346" s="262">
        <f t="shared" si="628"/>
        <v>1086710</v>
      </c>
      <c r="U346" s="7">
        <v>1086710</v>
      </c>
      <c r="V346" s="7">
        <v>0</v>
      </c>
      <c r="W346" s="266">
        <f t="shared" si="629"/>
        <v>1086710</v>
      </c>
      <c r="X346" s="7">
        <v>1086710</v>
      </c>
      <c r="Y346" s="7">
        <v>0</v>
      </c>
      <c r="Z346" s="266">
        <f t="shared" si="632"/>
        <v>1086710</v>
      </c>
      <c r="AA346" s="7">
        <v>1086710</v>
      </c>
      <c r="AB346" s="7">
        <v>0</v>
      </c>
      <c r="AC346" s="266">
        <f t="shared" si="633"/>
        <v>1086710</v>
      </c>
      <c r="AD346" s="84">
        <f t="shared" si="634"/>
        <v>7606970</v>
      </c>
      <c r="AE346" s="84">
        <f t="shared" si="634"/>
        <v>0</v>
      </c>
      <c r="AF346" s="266">
        <f t="shared" si="630"/>
        <v>7606970</v>
      </c>
      <c r="AG346" s="84">
        <f>1086710*3</f>
        <v>3260130</v>
      </c>
      <c r="AH346" s="84">
        <v>0</v>
      </c>
      <c r="AI346" s="262">
        <f t="shared" si="624"/>
        <v>3260130</v>
      </c>
      <c r="AJ346" s="122">
        <v>0</v>
      </c>
      <c r="AK346" s="122">
        <v>0</v>
      </c>
      <c r="AL346" s="84"/>
      <c r="AM346" s="266">
        <f t="shared" si="631"/>
        <v>0</v>
      </c>
      <c r="AN346" s="84">
        <f>1086710*4</f>
        <v>4346840</v>
      </c>
      <c r="AO346" s="84">
        <v>0</v>
      </c>
      <c r="AP346" s="266">
        <f t="shared" si="625"/>
        <v>4346840</v>
      </c>
      <c r="AQ346" s="240">
        <f t="shared" si="603"/>
        <v>0</v>
      </c>
      <c r="AR346" s="41"/>
    </row>
    <row r="347" spans="2:44" s="46" customFormat="1" ht="64.900000000000006" customHeight="1">
      <c r="B347" s="121"/>
      <c r="C347" s="66"/>
      <c r="D347" s="66"/>
      <c r="E347" s="39"/>
      <c r="F347" s="1"/>
      <c r="G347" s="71">
        <v>2025</v>
      </c>
      <c r="H347" s="71">
        <v>2030</v>
      </c>
      <c r="I347" s="7">
        <v>0</v>
      </c>
      <c r="J347" s="7">
        <v>0</v>
      </c>
      <c r="K347" s="262">
        <f t="shared" si="617"/>
        <v>0</v>
      </c>
      <c r="L347" s="7">
        <v>0</v>
      </c>
      <c r="M347" s="7">
        <v>0</v>
      </c>
      <c r="N347" s="262">
        <f t="shared" si="618"/>
        <v>0</v>
      </c>
      <c r="O347" s="84">
        <v>0</v>
      </c>
      <c r="P347" s="84">
        <v>0</v>
      </c>
      <c r="Q347" s="262">
        <f t="shared" si="619"/>
        <v>0</v>
      </c>
      <c r="R347" s="84">
        <v>0</v>
      </c>
      <c r="S347" s="84">
        <v>0</v>
      </c>
      <c r="T347" s="262">
        <f t="shared" si="628"/>
        <v>0</v>
      </c>
      <c r="U347" s="84">
        <v>0</v>
      </c>
      <c r="V347" s="84">
        <v>0</v>
      </c>
      <c r="W347" s="266">
        <f t="shared" si="629"/>
        <v>0</v>
      </c>
      <c r="X347" s="84">
        <v>0</v>
      </c>
      <c r="Y347" s="84">
        <v>0</v>
      </c>
      <c r="Z347" s="266">
        <f t="shared" si="632"/>
        <v>0</v>
      </c>
      <c r="AA347" s="84">
        <v>0</v>
      </c>
      <c r="AB347" s="84">
        <v>0</v>
      </c>
      <c r="AC347" s="266">
        <f t="shared" si="633"/>
        <v>0</v>
      </c>
      <c r="AD347" s="84">
        <f t="shared" si="634"/>
        <v>0</v>
      </c>
      <c r="AE347" s="84">
        <f t="shared" si="634"/>
        <v>0</v>
      </c>
      <c r="AF347" s="266">
        <f t="shared" si="630"/>
        <v>0</v>
      </c>
      <c r="AG347" s="84">
        <v>0</v>
      </c>
      <c r="AH347" s="84">
        <v>0</v>
      </c>
      <c r="AI347" s="262">
        <f t="shared" si="624"/>
        <v>0</v>
      </c>
      <c r="AJ347" s="122">
        <v>0</v>
      </c>
      <c r="AK347" s="122">
        <v>0</v>
      </c>
      <c r="AL347" s="84"/>
      <c r="AM347" s="266">
        <f t="shared" si="631"/>
        <v>0</v>
      </c>
      <c r="AN347" s="84">
        <v>0</v>
      </c>
      <c r="AO347" s="84">
        <v>0</v>
      </c>
      <c r="AP347" s="266">
        <f t="shared" si="625"/>
        <v>0</v>
      </c>
      <c r="AQ347" s="240">
        <f t="shared" si="603"/>
        <v>0</v>
      </c>
      <c r="AR347" s="41"/>
    </row>
    <row r="348" spans="2:44" s="46" customFormat="1" ht="64.900000000000006" customHeight="1">
      <c r="B348" s="121"/>
      <c r="C348" s="66"/>
      <c r="D348" s="66"/>
      <c r="E348" s="39"/>
      <c r="F348" s="1"/>
      <c r="G348" s="71">
        <v>2025</v>
      </c>
      <c r="H348" s="71">
        <v>2030</v>
      </c>
      <c r="I348" s="7">
        <v>0</v>
      </c>
      <c r="J348" s="7">
        <v>0</v>
      </c>
      <c r="K348" s="262">
        <f t="shared" si="617"/>
        <v>0</v>
      </c>
      <c r="L348" s="7">
        <v>0</v>
      </c>
      <c r="M348" s="7">
        <v>0</v>
      </c>
      <c r="N348" s="262">
        <f t="shared" si="618"/>
        <v>0</v>
      </c>
      <c r="O348" s="84">
        <v>0</v>
      </c>
      <c r="P348" s="84">
        <v>0</v>
      </c>
      <c r="Q348" s="262">
        <f t="shared" si="619"/>
        <v>0</v>
      </c>
      <c r="R348" s="84">
        <v>0</v>
      </c>
      <c r="S348" s="84">
        <v>0</v>
      </c>
      <c r="T348" s="262">
        <f t="shared" si="628"/>
        <v>0</v>
      </c>
      <c r="U348" s="84">
        <v>0</v>
      </c>
      <c r="V348" s="84">
        <v>0</v>
      </c>
      <c r="W348" s="266">
        <f t="shared" si="629"/>
        <v>0</v>
      </c>
      <c r="X348" s="84">
        <v>0</v>
      </c>
      <c r="Y348" s="84">
        <v>0</v>
      </c>
      <c r="Z348" s="266">
        <f t="shared" si="632"/>
        <v>0</v>
      </c>
      <c r="AA348" s="84">
        <v>0</v>
      </c>
      <c r="AB348" s="84">
        <v>0</v>
      </c>
      <c r="AC348" s="266">
        <f t="shared" si="633"/>
        <v>0</v>
      </c>
      <c r="AD348" s="84">
        <f t="shared" si="634"/>
        <v>0</v>
      </c>
      <c r="AE348" s="84">
        <f t="shared" si="634"/>
        <v>0</v>
      </c>
      <c r="AF348" s="266">
        <f t="shared" si="630"/>
        <v>0</v>
      </c>
      <c r="AG348" s="84">
        <v>0</v>
      </c>
      <c r="AH348" s="84">
        <v>0</v>
      </c>
      <c r="AI348" s="262">
        <f t="shared" si="624"/>
        <v>0</v>
      </c>
      <c r="AJ348" s="122">
        <v>0</v>
      </c>
      <c r="AK348" s="122">
        <v>0</v>
      </c>
      <c r="AL348" s="84"/>
      <c r="AM348" s="266">
        <f t="shared" si="631"/>
        <v>0</v>
      </c>
      <c r="AN348" s="84">
        <v>0</v>
      </c>
      <c r="AO348" s="84">
        <v>0</v>
      </c>
      <c r="AP348" s="266">
        <f t="shared" si="625"/>
        <v>0</v>
      </c>
      <c r="AQ348" s="240">
        <f t="shared" si="603"/>
        <v>0</v>
      </c>
      <c r="AR348" s="41"/>
    </row>
    <row r="349" spans="2:44" s="46" customFormat="1" ht="65.25" customHeight="1" thickBot="1">
      <c r="B349" s="235" t="s">
        <v>173</v>
      </c>
      <c r="C349" s="301" t="s">
        <v>777</v>
      </c>
      <c r="D349" s="229"/>
      <c r="E349" s="231" t="s">
        <v>787</v>
      </c>
      <c r="F349" s="232" t="s">
        <v>768</v>
      </c>
      <c r="G349" s="230">
        <v>2024</v>
      </c>
      <c r="H349" s="230">
        <v>2030</v>
      </c>
      <c r="I349" s="233">
        <f>SUM(I350:I355)</f>
        <v>8693680</v>
      </c>
      <c r="J349" s="233">
        <f>SUM(J350:J355)</f>
        <v>0</v>
      </c>
      <c r="K349" s="236">
        <f t="shared" si="617"/>
        <v>8693680</v>
      </c>
      <c r="L349" s="233">
        <f>SUM(L350:L355)</f>
        <v>16300650</v>
      </c>
      <c r="M349" s="233">
        <f>SUM(M350:M355)</f>
        <v>0</v>
      </c>
      <c r="N349" s="236">
        <f t="shared" si="618"/>
        <v>16300650</v>
      </c>
      <c r="O349" s="233">
        <f>SUM(O350:O355)</f>
        <v>13040520</v>
      </c>
      <c r="P349" s="233">
        <f>SUM(P350:P355)</f>
        <v>0</v>
      </c>
      <c r="Q349" s="236">
        <f t="shared" si="619"/>
        <v>13040520</v>
      </c>
      <c r="R349" s="233">
        <f>SUM(R350:R355)</f>
        <v>8693680</v>
      </c>
      <c r="S349" s="233">
        <f>SUM(S350:S355)</f>
        <v>0</v>
      </c>
      <c r="T349" s="236">
        <f t="shared" si="628"/>
        <v>8693680</v>
      </c>
      <c r="U349" s="233">
        <f>SUM(U350:U355)</f>
        <v>8693680</v>
      </c>
      <c r="V349" s="233">
        <f>SUM(V350:V355)</f>
        <v>0</v>
      </c>
      <c r="W349" s="236">
        <f t="shared" si="629"/>
        <v>8693680</v>
      </c>
      <c r="X349" s="236">
        <f>SUM(X350:X355)</f>
        <v>6520260</v>
      </c>
      <c r="Y349" s="236">
        <f>SUM(Y350:Y355)</f>
        <v>0</v>
      </c>
      <c r="Z349" s="236">
        <f>SUM(X349:Y349)</f>
        <v>6520260</v>
      </c>
      <c r="AA349" s="236">
        <f>SUM(AA350:AA355)</f>
        <v>6520260</v>
      </c>
      <c r="AB349" s="236">
        <f>SUM(AB350:AB355)</f>
        <v>0</v>
      </c>
      <c r="AC349" s="236">
        <f>SUM(AA349:AB349)</f>
        <v>6520260</v>
      </c>
      <c r="AD349" s="233">
        <f t="shared" si="634"/>
        <v>68462730</v>
      </c>
      <c r="AE349" s="233">
        <f t="shared" si="634"/>
        <v>0</v>
      </c>
      <c r="AF349" s="236">
        <f t="shared" si="630"/>
        <v>68462730</v>
      </c>
      <c r="AG349" s="233">
        <f>SUM(AG350:AG355)</f>
        <v>38034850</v>
      </c>
      <c r="AH349" s="233">
        <f>SUM(AH350:AH355)</f>
        <v>0</v>
      </c>
      <c r="AI349" s="236">
        <f t="shared" ref="AI349:AI355" si="635">SUM(AG349:AH349)</f>
        <v>38034850</v>
      </c>
      <c r="AJ349" s="233">
        <f>SUM(AJ350:AJ355)</f>
        <v>0</v>
      </c>
      <c r="AK349" s="233">
        <f>SUM(AK350:AK355)</f>
        <v>0</v>
      </c>
      <c r="AL349" s="236"/>
      <c r="AM349" s="236">
        <f t="shared" si="631"/>
        <v>0</v>
      </c>
      <c r="AN349" s="233">
        <f>SUM(AN350:AN355)</f>
        <v>30427880</v>
      </c>
      <c r="AO349" s="233">
        <f>SUM(AO350:AO355)</f>
        <v>0</v>
      </c>
      <c r="AP349" s="236">
        <f t="shared" si="625"/>
        <v>30427880</v>
      </c>
      <c r="AQ349" s="234">
        <f t="shared" si="603"/>
        <v>0</v>
      </c>
      <c r="AR349" s="41"/>
    </row>
    <row r="350" spans="2:44" s="46" customFormat="1" ht="65.25" customHeight="1">
      <c r="B350" s="121" t="s">
        <v>176</v>
      </c>
      <c r="C350" s="376" t="s">
        <v>781</v>
      </c>
      <c r="D350" s="66"/>
      <c r="E350" s="39" t="s">
        <v>98</v>
      </c>
      <c r="F350" s="39" t="s">
        <v>768</v>
      </c>
      <c r="G350" s="545">
        <v>2024</v>
      </c>
      <c r="H350" s="545">
        <v>2028</v>
      </c>
      <c r="I350" s="7">
        <v>2173420</v>
      </c>
      <c r="J350" s="7">
        <v>0</v>
      </c>
      <c r="K350" s="266">
        <f t="shared" si="617"/>
        <v>2173420</v>
      </c>
      <c r="L350" s="7">
        <v>2173420</v>
      </c>
      <c r="M350" s="7">
        <v>0</v>
      </c>
      <c r="N350" s="266">
        <f t="shared" si="618"/>
        <v>2173420</v>
      </c>
      <c r="O350" s="7">
        <v>2173420</v>
      </c>
      <c r="P350" s="7">
        <v>0</v>
      </c>
      <c r="Q350" s="266">
        <f t="shared" si="619"/>
        <v>2173420</v>
      </c>
      <c r="R350" s="7">
        <v>2173420</v>
      </c>
      <c r="S350" s="7">
        <v>0</v>
      </c>
      <c r="T350" s="266">
        <f t="shared" si="628"/>
        <v>2173420</v>
      </c>
      <c r="U350" s="7">
        <v>2173420</v>
      </c>
      <c r="V350" s="7">
        <v>0</v>
      </c>
      <c r="W350" s="266">
        <f t="shared" si="629"/>
        <v>2173420</v>
      </c>
      <c r="X350" s="7">
        <v>0</v>
      </c>
      <c r="Y350" s="7">
        <v>0</v>
      </c>
      <c r="Z350" s="266">
        <f t="shared" ref="Z350:Z355" si="636">SUM(X350:Y350)</f>
        <v>0</v>
      </c>
      <c r="AA350" s="7">
        <v>0</v>
      </c>
      <c r="AB350" s="7">
        <v>0</v>
      </c>
      <c r="AC350" s="266">
        <f t="shared" ref="AC350:AC355" si="637">SUM(AA350:AB350)</f>
        <v>0</v>
      </c>
      <c r="AD350" s="84">
        <f t="shared" si="634"/>
        <v>10867100</v>
      </c>
      <c r="AE350" s="84">
        <f t="shared" si="634"/>
        <v>0</v>
      </c>
      <c r="AF350" s="266">
        <f t="shared" si="630"/>
        <v>10867100</v>
      </c>
      <c r="AG350" s="84">
        <f>2173420*3</f>
        <v>6520260</v>
      </c>
      <c r="AH350" s="84">
        <v>0</v>
      </c>
      <c r="AI350" s="266">
        <f t="shared" si="635"/>
        <v>6520260</v>
      </c>
      <c r="AJ350" s="122">
        <v>0</v>
      </c>
      <c r="AK350" s="122">
        <v>0</v>
      </c>
      <c r="AL350" s="84"/>
      <c r="AM350" s="266">
        <f t="shared" si="631"/>
        <v>0</v>
      </c>
      <c r="AN350" s="84">
        <f>2173420*2</f>
        <v>4346840</v>
      </c>
      <c r="AO350" s="84">
        <v>0</v>
      </c>
      <c r="AP350" s="266">
        <f t="shared" si="625"/>
        <v>4346840</v>
      </c>
      <c r="AQ350" s="170">
        <f t="shared" si="603"/>
        <v>0</v>
      </c>
      <c r="AR350" s="41"/>
    </row>
    <row r="351" spans="2:44" s="46" customFormat="1" ht="35.450000000000003" customHeight="1">
      <c r="B351" s="121" t="s">
        <v>177</v>
      </c>
      <c r="C351" s="544" t="s">
        <v>782</v>
      </c>
      <c r="D351" s="66"/>
      <c r="E351" s="39" t="s">
        <v>98</v>
      </c>
      <c r="F351" s="39" t="s">
        <v>768</v>
      </c>
      <c r="G351" s="401">
        <v>2024</v>
      </c>
      <c r="H351" s="401">
        <v>2030</v>
      </c>
      <c r="I351" s="7">
        <v>2173420</v>
      </c>
      <c r="J351" s="7">
        <v>0</v>
      </c>
      <c r="K351" s="266">
        <f>SUM(I351:J351)</f>
        <v>2173420</v>
      </c>
      <c r="L351" s="7">
        <v>2173420</v>
      </c>
      <c r="M351" s="7">
        <v>0</v>
      </c>
      <c r="N351" s="266">
        <f>SUM(L351:M351)</f>
        <v>2173420</v>
      </c>
      <c r="O351" s="7">
        <v>2173420</v>
      </c>
      <c r="P351" s="7">
        <v>0</v>
      </c>
      <c r="Q351" s="266">
        <f t="shared" si="619"/>
        <v>2173420</v>
      </c>
      <c r="R351" s="7">
        <v>2173420</v>
      </c>
      <c r="S351" s="7">
        <v>0</v>
      </c>
      <c r="T351" s="266">
        <f t="shared" si="628"/>
        <v>2173420</v>
      </c>
      <c r="U351" s="7">
        <v>2173420</v>
      </c>
      <c r="V351" s="7">
        <v>0</v>
      </c>
      <c r="W351" s="266">
        <f t="shared" si="629"/>
        <v>2173420</v>
      </c>
      <c r="X351" s="7">
        <v>2173420</v>
      </c>
      <c r="Y351" s="7">
        <v>0</v>
      </c>
      <c r="Z351" s="266">
        <f t="shared" si="636"/>
        <v>2173420</v>
      </c>
      <c r="AA351" s="7">
        <v>2173420</v>
      </c>
      <c r="AB351" s="7">
        <v>0</v>
      </c>
      <c r="AC351" s="266">
        <f t="shared" si="637"/>
        <v>2173420</v>
      </c>
      <c r="AD351" s="84">
        <f>I351+L351+O351+R351+U351+X351+AA351</f>
        <v>15213940</v>
      </c>
      <c r="AE351" s="84">
        <f>J351+M351+P351+S351+V351+Y351+AB351</f>
        <v>0</v>
      </c>
      <c r="AF351" s="266">
        <f t="shared" si="630"/>
        <v>15213940</v>
      </c>
      <c r="AG351" s="84">
        <f>2173420*3</f>
        <v>6520260</v>
      </c>
      <c r="AH351" s="84">
        <v>0</v>
      </c>
      <c r="AI351" s="266">
        <f t="shared" si="635"/>
        <v>6520260</v>
      </c>
      <c r="AJ351" s="122">
        <v>0</v>
      </c>
      <c r="AK351" s="122">
        <v>0</v>
      </c>
      <c r="AL351" s="84"/>
      <c r="AM351" s="266">
        <f t="shared" si="631"/>
        <v>0</v>
      </c>
      <c r="AN351" s="84">
        <f>2173420*4</f>
        <v>8693680</v>
      </c>
      <c r="AO351" s="84">
        <v>0</v>
      </c>
      <c r="AP351" s="266">
        <f t="shared" si="625"/>
        <v>8693680</v>
      </c>
      <c r="AQ351" s="170">
        <f t="shared" si="603"/>
        <v>0</v>
      </c>
      <c r="AR351" s="41"/>
    </row>
    <row r="352" spans="2:44" s="46" customFormat="1" ht="46.9" customHeight="1">
      <c r="B352" s="121" t="s">
        <v>178</v>
      </c>
      <c r="C352" s="544" t="s">
        <v>783</v>
      </c>
      <c r="D352" s="66"/>
      <c r="E352" s="39" t="s">
        <v>98</v>
      </c>
      <c r="F352" s="39" t="s">
        <v>768</v>
      </c>
      <c r="G352" s="401">
        <v>2024</v>
      </c>
      <c r="H352" s="401">
        <v>2030</v>
      </c>
      <c r="I352" s="7">
        <v>4346840</v>
      </c>
      <c r="J352" s="7">
        <v>0</v>
      </c>
      <c r="K352" s="266">
        <f t="shared" si="617"/>
        <v>4346840</v>
      </c>
      <c r="L352" s="7">
        <v>4346840</v>
      </c>
      <c r="M352" s="7">
        <v>0</v>
      </c>
      <c r="N352" s="266">
        <f t="shared" si="618"/>
        <v>4346840</v>
      </c>
      <c r="O352" s="7">
        <v>4346840</v>
      </c>
      <c r="P352" s="7">
        <v>0</v>
      </c>
      <c r="Q352" s="266">
        <f t="shared" si="619"/>
        <v>4346840</v>
      </c>
      <c r="R352" s="7">
        <v>4346840</v>
      </c>
      <c r="S352" s="7">
        <v>0</v>
      </c>
      <c r="T352" s="266">
        <f t="shared" si="628"/>
        <v>4346840</v>
      </c>
      <c r="U352" s="7">
        <v>4346840</v>
      </c>
      <c r="V352" s="7">
        <v>0</v>
      </c>
      <c r="W352" s="266">
        <f t="shared" si="629"/>
        <v>4346840</v>
      </c>
      <c r="X352" s="7">
        <v>4346840</v>
      </c>
      <c r="Y352" s="7">
        <v>0</v>
      </c>
      <c r="Z352" s="266">
        <f t="shared" si="636"/>
        <v>4346840</v>
      </c>
      <c r="AA352" s="7">
        <v>4346840</v>
      </c>
      <c r="AB352" s="7">
        <v>0</v>
      </c>
      <c r="AC352" s="266">
        <f t="shared" si="637"/>
        <v>4346840</v>
      </c>
      <c r="AD352" s="84">
        <f t="shared" ref="AD352:AD354" si="638">I352+L352+O352+R352+U352+X352+AA352</f>
        <v>30427880</v>
      </c>
      <c r="AE352" s="84">
        <f t="shared" ref="AE352:AE354" si="639">J352+M352+P352+S352+V352+Y352+AB352</f>
        <v>0</v>
      </c>
      <c r="AF352" s="266">
        <f t="shared" si="630"/>
        <v>30427880</v>
      </c>
      <c r="AG352" s="84">
        <f>4346840*3</f>
        <v>13040520</v>
      </c>
      <c r="AH352" s="84">
        <v>0</v>
      </c>
      <c r="AI352" s="266">
        <f t="shared" si="635"/>
        <v>13040520</v>
      </c>
      <c r="AJ352" s="122">
        <v>0</v>
      </c>
      <c r="AK352" s="122">
        <v>0</v>
      </c>
      <c r="AL352" s="84"/>
      <c r="AM352" s="266">
        <f t="shared" si="631"/>
        <v>0</v>
      </c>
      <c r="AN352" s="84">
        <f>4346840*4</f>
        <v>17387360</v>
      </c>
      <c r="AO352" s="84">
        <v>0</v>
      </c>
      <c r="AP352" s="266">
        <f t="shared" si="625"/>
        <v>17387360</v>
      </c>
      <c r="AQ352" s="170">
        <f t="shared" si="603"/>
        <v>0</v>
      </c>
      <c r="AR352" s="41"/>
    </row>
    <row r="353" spans="2:44" s="46" customFormat="1" ht="65.25" customHeight="1">
      <c r="B353" s="121" t="s">
        <v>778</v>
      </c>
      <c r="C353" s="353" t="s">
        <v>744</v>
      </c>
      <c r="D353" s="66"/>
      <c r="E353" s="39" t="s">
        <v>786</v>
      </c>
      <c r="F353" s="39"/>
      <c r="G353" s="401">
        <v>2025</v>
      </c>
      <c r="H353" s="401">
        <v>2025</v>
      </c>
      <c r="I353" s="7">
        <v>0</v>
      </c>
      <c r="J353" s="7">
        <v>0</v>
      </c>
      <c r="K353" s="266">
        <f t="shared" si="617"/>
        <v>0</v>
      </c>
      <c r="L353" s="7">
        <v>4346840</v>
      </c>
      <c r="M353" s="7">
        <v>0</v>
      </c>
      <c r="N353" s="266">
        <f t="shared" si="618"/>
        <v>4346840</v>
      </c>
      <c r="O353" s="84">
        <v>0</v>
      </c>
      <c r="P353" s="84">
        <v>0</v>
      </c>
      <c r="Q353" s="266">
        <f t="shared" si="619"/>
        <v>0</v>
      </c>
      <c r="R353" s="84">
        <v>0</v>
      </c>
      <c r="S353" s="84">
        <v>0</v>
      </c>
      <c r="T353" s="266">
        <f t="shared" si="628"/>
        <v>0</v>
      </c>
      <c r="U353" s="84">
        <v>0</v>
      </c>
      <c r="V353" s="84">
        <v>0</v>
      </c>
      <c r="W353" s="266">
        <f t="shared" si="629"/>
        <v>0</v>
      </c>
      <c r="X353" s="84">
        <v>0</v>
      </c>
      <c r="Y353" s="84">
        <v>0</v>
      </c>
      <c r="Z353" s="266">
        <f t="shared" si="636"/>
        <v>0</v>
      </c>
      <c r="AA353" s="84">
        <v>0</v>
      </c>
      <c r="AB353" s="84">
        <v>0</v>
      </c>
      <c r="AC353" s="266">
        <f t="shared" si="637"/>
        <v>0</v>
      </c>
      <c r="AD353" s="84">
        <f t="shared" si="638"/>
        <v>4346840</v>
      </c>
      <c r="AE353" s="84">
        <f t="shared" si="639"/>
        <v>0</v>
      </c>
      <c r="AF353" s="266">
        <f t="shared" si="630"/>
        <v>4346840</v>
      </c>
      <c r="AG353" s="84">
        <v>4346840</v>
      </c>
      <c r="AH353" s="84">
        <v>0</v>
      </c>
      <c r="AI353" s="266">
        <f t="shared" si="635"/>
        <v>4346840</v>
      </c>
      <c r="AJ353" s="122">
        <v>0</v>
      </c>
      <c r="AK353" s="122">
        <v>0</v>
      </c>
      <c r="AL353" s="84"/>
      <c r="AM353" s="266">
        <f t="shared" si="631"/>
        <v>0</v>
      </c>
      <c r="AN353" s="84">
        <v>0</v>
      </c>
      <c r="AO353" s="84">
        <v>0</v>
      </c>
      <c r="AP353" s="266">
        <f t="shared" si="625"/>
        <v>0</v>
      </c>
      <c r="AQ353" s="170">
        <f t="shared" si="603"/>
        <v>0</v>
      </c>
      <c r="AR353" s="41"/>
    </row>
    <row r="354" spans="2:44" s="46" customFormat="1" ht="65.25" customHeight="1">
      <c r="B354" s="121" t="s">
        <v>779</v>
      </c>
      <c r="C354" s="353" t="s">
        <v>784</v>
      </c>
      <c r="D354" s="66"/>
      <c r="E354" s="39" t="s">
        <v>786</v>
      </c>
      <c r="F354" s="39"/>
      <c r="G354" s="401">
        <v>2026</v>
      </c>
      <c r="H354" s="401">
        <v>2026</v>
      </c>
      <c r="I354" s="7">
        <v>0</v>
      </c>
      <c r="J354" s="7">
        <v>0</v>
      </c>
      <c r="K354" s="266">
        <f t="shared" si="617"/>
        <v>0</v>
      </c>
      <c r="L354" s="7">
        <v>0</v>
      </c>
      <c r="M354" s="7">
        <v>0</v>
      </c>
      <c r="N354" s="266">
        <f t="shared" si="618"/>
        <v>0</v>
      </c>
      <c r="O354" s="7">
        <v>4346840</v>
      </c>
      <c r="P354" s="7">
        <v>0</v>
      </c>
      <c r="Q354" s="266">
        <f t="shared" si="619"/>
        <v>4346840</v>
      </c>
      <c r="R354" s="84">
        <v>0</v>
      </c>
      <c r="S354" s="84">
        <v>0</v>
      </c>
      <c r="T354" s="266">
        <f t="shared" si="628"/>
        <v>0</v>
      </c>
      <c r="U354" s="84">
        <v>0</v>
      </c>
      <c r="V354" s="84">
        <v>0</v>
      </c>
      <c r="W354" s="266">
        <f t="shared" si="629"/>
        <v>0</v>
      </c>
      <c r="X354" s="84">
        <v>0</v>
      </c>
      <c r="Y354" s="84">
        <v>0</v>
      </c>
      <c r="Z354" s="266">
        <f t="shared" si="636"/>
        <v>0</v>
      </c>
      <c r="AA354" s="84">
        <v>0</v>
      </c>
      <c r="AB354" s="84">
        <v>0</v>
      </c>
      <c r="AC354" s="266">
        <f t="shared" si="637"/>
        <v>0</v>
      </c>
      <c r="AD354" s="84">
        <f t="shared" si="638"/>
        <v>4346840</v>
      </c>
      <c r="AE354" s="84">
        <f t="shared" si="639"/>
        <v>0</v>
      </c>
      <c r="AF354" s="266">
        <f t="shared" si="630"/>
        <v>4346840</v>
      </c>
      <c r="AG354" s="84">
        <v>4346840</v>
      </c>
      <c r="AH354" s="84">
        <v>0</v>
      </c>
      <c r="AI354" s="266">
        <f t="shared" si="635"/>
        <v>4346840</v>
      </c>
      <c r="AJ354" s="122">
        <v>0</v>
      </c>
      <c r="AK354" s="122">
        <v>0</v>
      </c>
      <c r="AL354" s="84"/>
      <c r="AM354" s="266">
        <f t="shared" si="631"/>
        <v>0</v>
      </c>
      <c r="AN354" s="84">
        <v>0</v>
      </c>
      <c r="AO354" s="84">
        <v>0</v>
      </c>
      <c r="AP354" s="266">
        <f t="shared" si="625"/>
        <v>0</v>
      </c>
      <c r="AQ354" s="170">
        <f t="shared" si="603"/>
        <v>0</v>
      </c>
      <c r="AR354" s="41"/>
    </row>
    <row r="355" spans="2:44" s="46" customFormat="1" ht="65.25" customHeight="1">
      <c r="B355" s="121" t="s">
        <v>780</v>
      </c>
      <c r="C355" s="353" t="s">
        <v>785</v>
      </c>
      <c r="D355" s="66"/>
      <c r="E355" s="39" t="s">
        <v>786</v>
      </c>
      <c r="F355" s="39"/>
      <c r="G355" s="345">
        <v>2025</v>
      </c>
      <c r="H355" s="345">
        <v>2025</v>
      </c>
      <c r="I355" s="7">
        <v>0</v>
      </c>
      <c r="J355" s="7">
        <v>0</v>
      </c>
      <c r="K355" s="266">
        <f t="shared" si="617"/>
        <v>0</v>
      </c>
      <c r="L355" s="7">
        <v>3260130</v>
      </c>
      <c r="M355" s="7">
        <v>0</v>
      </c>
      <c r="N355" s="266">
        <f t="shared" si="618"/>
        <v>3260130</v>
      </c>
      <c r="O355" s="84">
        <v>0</v>
      </c>
      <c r="P355" s="84">
        <v>0</v>
      </c>
      <c r="Q355" s="266">
        <f t="shared" si="619"/>
        <v>0</v>
      </c>
      <c r="R355" s="84">
        <v>0</v>
      </c>
      <c r="S355" s="84">
        <v>0</v>
      </c>
      <c r="T355" s="266">
        <f t="shared" si="628"/>
        <v>0</v>
      </c>
      <c r="U355" s="84">
        <v>0</v>
      </c>
      <c r="V355" s="84">
        <v>0</v>
      </c>
      <c r="W355" s="266">
        <f t="shared" si="629"/>
        <v>0</v>
      </c>
      <c r="X355" s="84">
        <v>0</v>
      </c>
      <c r="Y355" s="84">
        <v>0</v>
      </c>
      <c r="Z355" s="266">
        <f t="shared" si="636"/>
        <v>0</v>
      </c>
      <c r="AA355" s="84">
        <v>0</v>
      </c>
      <c r="AB355" s="84">
        <v>0</v>
      </c>
      <c r="AC355" s="266">
        <f t="shared" si="637"/>
        <v>0</v>
      </c>
      <c r="AD355" s="84">
        <f t="shared" si="634"/>
        <v>3260130</v>
      </c>
      <c r="AE355" s="84">
        <f t="shared" si="634"/>
        <v>0</v>
      </c>
      <c r="AF355" s="266">
        <f t="shared" si="630"/>
        <v>3260130</v>
      </c>
      <c r="AG355" s="84">
        <v>3260130</v>
      </c>
      <c r="AH355" s="84">
        <v>0</v>
      </c>
      <c r="AI355" s="266">
        <f t="shared" si="635"/>
        <v>3260130</v>
      </c>
      <c r="AJ355" s="122">
        <v>0</v>
      </c>
      <c r="AK355" s="122">
        <v>0</v>
      </c>
      <c r="AL355" s="84"/>
      <c r="AM355" s="266">
        <f t="shared" si="631"/>
        <v>0</v>
      </c>
      <c r="AN355" s="84">
        <v>0</v>
      </c>
      <c r="AO355" s="84">
        <v>0</v>
      </c>
      <c r="AP355" s="266">
        <f t="shared" si="625"/>
        <v>0</v>
      </c>
      <c r="AQ355" s="170">
        <f t="shared" si="603"/>
        <v>0</v>
      </c>
      <c r="AR355" s="41"/>
    </row>
    <row r="356" spans="2:44" s="46" customFormat="1" ht="75" customHeight="1">
      <c r="B356" s="222" t="s">
        <v>234</v>
      </c>
      <c r="C356" s="258" t="s">
        <v>789</v>
      </c>
      <c r="D356" s="191"/>
      <c r="E356" s="398" t="s">
        <v>793</v>
      </c>
      <c r="F356" s="398" t="s">
        <v>768</v>
      </c>
      <c r="G356" s="185">
        <v>2024</v>
      </c>
      <c r="H356" s="185">
        <v>2030</v>
      </c>
      <c r="I356" s="189">
        <f>SUM(I357:I359)</f>
        <v>3973420</v>
      </c>
      <c r="J356" s="189">
        <f>SUM(J357:J359)</f>
        <v>0</v>
      </c>
      <c r="K356" s="205">
        <f>SUM(I356:J356)</f>
        <v>3973420</v>
      </c>
      <c r="L356" s="189">
        <f>SUM(L357:L359)</f>
        <v>3973420</v>
      </c>
      <c r="M356" s="189">
        <f>SUM(M357:M359)</f>
        <v>0</v>
      </c>
      <c r="N356" s="205">
        <f>SUM(L356:M356)</f>
        <v>3973420</v>
      </c>
      <c r="O356" s="205">
        <f>SUM(O357:O359)</f>
        <v>3973420</v>
      </c>
      <c r="P356" s="205">
        <f>SUM(P357:P359)</f>
        <v>0</v>
      </c>
      <c r="Q356" s="205">
        <f>SUM(O356:P356)</f>
        <v>3973420</v>
      </c>
      <c r="R356" s="205">
        <f>SUM(R357:R359)</f>
        <v>3973420</v>
      </c>
      <c r="S356" s="205">
        <f>SUM(S357:S359)</f>
        <v>0</v>
      </c>
      <c r="T356" s="205">
        <f>SUM(R356:S356)</f>
        <v>3973420</v>
      </c>
      <c r="U356" s="205">
        <f>SUM(U357:U359)</f>
        <v>3973420</v>
      </c>
      <c r="V356" s="205">
        <f>SUM(V357:V359)</f>
        <v>0</v>
      </c>
      <c r="W356" s="205">
        <f>SUM(U356:V356)</f>
        <v>3973420</v>
      </c>
      <c r="X356" s="205">
        <f>SUM(X357:X359)</f>
        <v>3973420</v>
      </c>
      <c r="Y356" s="205">
        <f>SUM(Y357:Y359)</f>
        <v>0</v>
      </c>
      <c r="Z356" s="266">
        <f>SUM(X356:Y356)</f>
        <v>3973420</v>
      </c>
      <c r="AA356" s="205">
        <f>SUM(AA357:AA359)</f>
        <v>3973420</v>
      </c>
      <c r="AB356" s="205">
        <f>SUM(AB357:AB359)</f>
        <v>0</v>
      </c>
      <c r="AC356" s="205">
        <f>SUM(AA356:AB356)</f>
        <v>3973420</v>
      </c>
      <c r="AD356" s="205">
        <f t="shared" si="634"/>
        <v>27813940</v>
      </c>
      <c r="AE356" s="205">
        <f t="shared" si="634"/>
        <v>0</v>
      </c>
      <c r="AF356" s="205">
        <f>SUM(AD356:AE356)</f>
        <v>27813940</v>
      </c>
      <c r="AG356" s="205">
        <f>SUM(AG357:AG359)</f>
        <v>11920260</v>
      </c>
      <c r="AH356" s="205">
        <f>SUM(AH357:AH359)</f>
        <v>0</v>
      </c>
      <c r="AI356" s="205">
        <f>SUM(AG356:AH356)</f>
        <v>11920260</v>
      </c>
      <c r="AJ356" s="300">
        <f>SUM(AJ357:AJ359)</f>
        <v>0</v>
      </c>
      <c r="AK356" s="300">
        <f>SUM(AK357:AK359)</f>
        <v>0</v>
      </c>
      <c r="AL356" s="205"/>
      <c r="AM356" s="205">
        <f>AJ356+AK356</f>
        <v>0</v>
      </c>
      <c r="AN356" s="205">
        <f>SUM(AN357:AN359)</f>
        <v>15893680</v>
      </c>
      <c r="AO356" s="205">
        <f>SUM(AO357:AO359)</f>
        <v>0</v>
      </c>
      <c r="AP356" s="205">
        <f>SUM(AN356:AO356)</f>
        <v>15893680</v>
      </c>
      <c r="AQ356" s="211">
        <f t="shared" si="603"/>
        <v>0</v>
      </c>
      <c r="AR356" s="41"/>
    </row>
    <row r="357" spans="2:44" s="46" customFormat="1" ht="65.25" customHeight="1">
      <c r="B357" s="121" t="s">
        <v>236</v>
      </c>
      <c r="C357" s="537" t="s">
        <v>790</v>
      </c>
      <c r="D357" s="66"/>
      <c r="E357" s="39" t="s">
        <v>98</v>
      </c>
      <c r="F357" s="39" t="s">
        <v>768</v>
      </c>
      <c r="G357" s="71">
        <v>2024</v>
      </c>
      <c r="H357" s="71">
        <v>2030</v>
      </c>
      <c r="I357" s="7">
        <v>1086710</v>
      </c>
      <c r="J357" s="7">
        <v>0</v>
      </c>
      <c r="K357" s="266">
        <f t="shared" ref="K357:K363" si="640">SUM(I357:J357)</f>
        <v>1086710</v>
      </c>
      <c r="L357" s="7">
        <v>1086710</v>
      </c>
      <c r="M357" s="7">
        <v>0</v>
      </c>
      <c r="N357" s="266">
        <f t="shared" ref="N357:N363" si="641">SUM(L357:M357)</f>
        <v>1086710</v>
      </c>
      <c r="O357" s="7">
        <v>1086710</v>
      </c>
      <c r="P357" s="7">
        <v>0</v>
      </c>
      <c r="Q357" s="266">
        <f t="shared" ref="Q357:Q363" si="642">SUM(O357:P357)</f>
        <v>1086710</v>
      </c>
      <c r="R357" s="7">
        <v>1086710</v>
      </c>
      <c r="S357" s="7">
        <v>0</v>
      </c>
      <c r="T357" s="266">
        <f t="shared" ref="T357:T363" si="643">SUM(R357:S357)</f>
        <v>1086710</v>
      </c>
      <c r="U357" s="7">
        <v>1086710</v>
      </c>
      <c r="V357" s="7">
        <v>0</v>
      </c>
      <c r="W357" s="266">
        <f t="shared" ref="W357:W363" si="644">SUM(U357:V357)</f>
        <v>1086710</v>
      </c>
      <c r="X357" s="7">
        <v>1086710</v>
      </c>
      <c r="Y357" s="7">
        <v>0</v>
      </c>
      <c r="Z357" s="266">
        <f t="shared" ref="Z357:Z363" si="645">SUM(X357:Y357)</f>
        <v>1086710</v>
      </c>
      <c r="AA357" s="7">
        <v>1086710</v>
      </c>
      <c r="AB357" s="7">
        <v>0</v>
      </c>
      <c r="AC357" s="266">
        <f t="shared" ref="AC357:AC363" si="646">SUM(AA357:AB357)</f>
        <v>1086710</v>
      </c>
      <c r="AD357" s="84">
        <f t="shared" si="634"/>
        <v>7606970</v>
      </c>
      <c r="AE357" s="84">
        <f t="shared" si="634"/>
        <v>0</v>
      </c>
      <c r="AF357" s="266">
        <f t="shared" ref="AF357:AF363" si="647">SUM(AD357:AE357)</f>
        <v>7606970</v>
      </c>
      <c r="AG357" s="84">
        <f>1086710*3</f>
        <v>3260130</v>
      </c>
      <c r="AH357" s="84">
        <v>0</v>
      </c>
      <c r="AI357" s="266">
        <f t="shared" ref="AI357:AI363" si="648">SUM(AG357:AH357)</f>
        <v>3260130</v>
      </c>
      <c r="AJ357" s="122">
        <v>0</v>
      </c>
      <c r="AK357" s="122">
        <v>0</v>
      </c>
      <c r="AL357" s="84"/>
      <c r="AM357" s="266">
        <f t="shared" ref="AM357:AM363" si="649">AJ357+AK357</f>
        <v>0</v>
      </c>
      <c r="AN357" s="84">
        <f>1086710*4</f>
        <v>4346840</v>
      </c>
      <c r="AO357" s="84">
        <v>0</v>
      </c>
      <c r="AP357" s="266">
        <f t="shared" ref="AP357:AP363" si="650">SUM(AN357:AO357)</f>
        <v>4346840</v>
      </c>
      <c r="AQ357" s="299">
        <f t="shared" si="603"/>
        <v>0</v>
      </c>
      <c r="AR357" s="41"/>
    </row>
    <row r="358" spans="2:44" s="46" customFormat="1" ht="65.25" customHeight="1">
      <c r="B358" s="121" t="s">
        <v>237</v>
      </c>
      <c r="C358" s="537" t="s">
        <v>791</v>
      </c>
      <c r="D358" s="66"/>
      <c r="E358" s="39" t="s">
        <v>793</v>
      </c>
      <c r="F358" s="39" t="s">
        <v>768</v>
      </c>
      <c r="G358" s="71">
        <v>2024</v>
      </c>
      <c r="H358" s="71">
        <v>2030</v>
      </c>
      <c r="I358" s="7">
        <f>2*20*9000*5</f>
        <v>1800000</v>
      </c>
      <c r="J358" s="7">
        <v>0</v>
      </c>
      <c r="K358" s="266">
        <f t="shared" si="640"/>
        <v>1800000</v>
      </c>
      <c r="L358" s="7">
        <v>1800000</v>
      </c>
      <c r="M358" s="7">
        <v>0</v>
      </c>
      <c r="N358" s="266">
        <f t="shared" si="641"/>
        <v>1800000</v>
      </c>
      <c r="O358" s="7">
        <v>1800000</v>
      </c>
      <c r="P358" s="7">
        <v>0</v>
      </c>
      <c r="Q358" s="266">
        <f t="shared" si="642"/>
        <v>1800000</v>
      </c>
      <c r="R358" s="7">
        <v>1800000</v>
      </c>
      <c r="S358" s="7">
        <v>0</v>
      </c>
      <c r="T358" s="266">
        <f t="shared" si="643"/>
        <v>1800000</v>
      </c>
      <c r="U358" s="7">
        <v>1800000</v>
      </c>
      <c r="V358" s="7">
        <v>0</v>
      </c>
      <c r="W358" s="266">
        <f t="shared" si="644"/>
        <v>1800000</v>
      </c>
      <c r="X358" s="7">
        <v>1800000</v>
      </c>
      <c r="Y358" s="7">
        <v>0</v>
      </c>
      <c r="Z358" s="266">
        <f t="shared" si="645"/>
        <v>1800000</v>
      </c>
      <c r="AA358" s="7">
        <v>1800000</v>
      </c>
      <c r="AB358" s="7">
        <v>0</v>
      </c>
      <c r="AC358" s="266">
        <f t="shared" si="646"/>
        <v>1800000</v>
      </c>
      <c r="AD358" s="84">
        <f t="shared" si="634"/>
        <v>12600000</v>
      </c>
      <c r="AE358" s="84">
        <f t="shared" si="634"/>
        <v>0</v>
      </c>
      <c r="AF358" s="266">
        <f t="shared" si="647"/>
        <v>12600000</v>
      </c>
      <c r="AG358" s="84">
        <f>1800000*3</f>
        <v>5400000</v>
      </c>
      <c r="AH358" s="84">
        <v>0</v>
      </c>
      <c r="AI358" s="266">
        <f t="shared" si="648"/>
        <v>5400000</v>
      </c>
      <c r="AJ358" s="122">
        <v>0</v>
      </c>
      <c r="AK358" s="122">
        <v>0</v>
      </c>
      <c r="AL358" s="84"/>
      <c r="AM358" s="266">
        <f t="shared" si="649"/>
        <v>0</v>
      </c>
      <c r="AN358" s="84">
        <f>1800000*4</f>
        <v>7200000</v>
      </c>
      <c r="AO358" s="84">
        <v>0</v>
      </c>
      <c r="AP358" s="266">
        <f t="shared" si="650"/>
        <v>7200000</v>
      </c>
      <c r="AQ358" s="299">
        <f t="shared" si="603"/>
        <v>0</v>
      </c>
      <c r="AR358" s="41"/>
    </row>
    <row r="359" spans="2:44" s="46" customFormat="1" ht="65.25" customHeight="1">
      <c r="B359" s="39" t="s">
        <v>238</v>
      </c>
      <c r="C359" s="537" t="s">
        <v>792</v>
      </c>
      <c r="D359" s="66"/>
      <c r="E359" s="39" t="s">
        <v>98</v>
      </c>
      <c r="F359" s="39" t="s">
        <v>768</v>
      </c>
      <c r="G359" s="71">
        <v>2024</v>
      </c>
      <c r="H359" s="71">
        <v>2030</v>
      </c>
      <c r="I359" s="7">
        <v>1086710</v>
      </c>
      <c r="J359" s="7">
        <v>0</v>
      </c>
      <c r="K359" s="266">
        <f t="shared" si="640"/>
        <v>1086710</v>
      </c>
      <c r="L359" s="7">
        <v>1086710</v>
      </c>
      <c r="M359" s="7">
        <v>0</v>
      </c>
      <c r="N359" s="266">
        <f t="shared" si="641"/>
        <v>1086710</v>
      </c>
      <c r="O359" s="7">
        <v>1086710</v>
      </c>
      <c r="P359" s="7">
        <v>0</v>
      </c>
      <c r="Q359" s="266">
        <f t="shared" si="642"/>
        <v>1086710</v>
      </c>
      <c r="R359" s="7">
        <v>1086710</v>
      </c>
      <c r="S359" s="7">
        <v>0</v>
      </c>
      <c r="T359" s="266">
        <f t="shared" si="643"/>
        <v>1086710</v>
      </c>
      <c r="U359" s="7">
        <v>1086710</v>
      </c>
      <c r="V359" s="7">
        <v>0</v>
      </c>
      <c r="W359" s="266">
        <f t="shared" si="644"/>
        <v>1086710</v>
      </c>
      <c r="X359" s="7">
        <v>1086710</v>
      </c>
      <c r="Y359" s="7">
        <v>0</v>
      </c>
      <c r="Z359" s="266">
        <f t="shared" si="645"/>
        <v>1086710</v>
      </c>
      <c r="AA359" s="7">
        <v>1086710</v>
      </c>
      <c r="AB359" s="7">
        <v>0</v>
      </c>
      <c r="AC359" s="266">
        <f t="shared" si="646"/>
        <v>1086710</v>
      </c>
      <c r="AD359" s="84">
        <f t="shared" si="634"/>
        <v>7606970</v>
      </c>
      <c r="AE359" s="84">
        <f t="shared" si="634"/>
        <v>0</v>
      </c>
      <c r="AF359" s="266">
        <f t="shared" si="647"/>
        <v>7606970</v>
      </c>
      <c r="AG359" s="84">
        <f>1086710*3</f>
        <v>3260130</v>
      </c>
      <c r="AH359" s="84">
        <v>0</v>
      </c>
      <c r="AI359" s="266">
        <f t="shared" si="648"/>
        <v>3260130</v>
      </c>
      <c r="AJ359" s="122">
        <v>0</v>
      </c>
      <c r="AK359" s="122">
        <v>0</v>
      </c>
      <c r="AL359" s="84"/>
      <c r="AM359" s="266">
        <f t="shared" si="649"/>
        <v>0</v>
      </c>
      <c r="AN359" s="84">
        <f>1086710*4</f>
        <v>4346840</v>
      </c>
      <c r="AO359" s="84">
        <v>0</v>
      </c>
      <c r="AP359" s="266">
        <f t="shared" si="650"/>
        <v>4346840</v>
      </c>
      <c r="AQ359" s="322">
        <f t="shared" si="603"/>
        <v>0</v>
      </c>
      <c r="AR359" s="41"/>
    </row>
    <row r="360" spans="2:44" s="46" customFormat="1" ht="75" customHeight="1">
      <c r="B360" s="192" t="s">
        <v>788</v>
      </c>
      <c r="C360" s="258" t="s">
        <v>797</v>
      </c>
      <c r="D360" s="191"/>
      <c r="E360" s="192"/>
      <c r="F360" s="186"/>
      <c r="G360" s="533">
        <v>2026</v>
      </c>
      <c r="H360" s="185">
        <v>2030</v>
      </c>
      <c r="I360" s="189">
        <f>SUM(I361:I363)</f>
        <v>1630065</v>
      </c>
      <c r="J360" s="189">
        <f>SUM(J361:J363)</f>
        <v>0</v>
      </c>
      <c r="K360" s="205">
        <f>SUM(I360:J360)</f>
        <v>1630065</v>
      </c>
      <c r="L360" s="189">
        <f>SUM(L361:L363)</f>
        <v>1630065</v>
      </c>
      <c r="M360" s="189">
        <f>SUM(M361:M363)</f>
        <v>0</v>
      </c>
      <c r="N360" s="205">
        <f>SUM(L360:M360)</f>
        <v>1630065</v>
      </c>
      <c r="O360" s="205">
        <f>SUM(O361:O363)</f>
        <v>1630065</v>
      </c>
      <c r="P360" s="205">
        <f>SUM(P361:P363)</f>
        <v>0</v>
      </c>
      <c r="Q360" s="205">
        <f>SUM(O360:P360)</f>
        <v>1630065</v>
      </c>
      <c r="R360" s="205">
        <f>SUM(R361:R363)</f>
        <v>1630065</v>
      </c>
      <c r="S360" s="205">
        <f>SUM(S361:S363)</f>
        <v>0</v>
      </c>
      <c r="T360" s="205">
        <f>SUM(R360:S360)</f>
        <v>1630065</v>
      </c>
      <c r="U360" s="205">
        <f>SUM(U361:U363)</f>
        <v>1630065</v>
      </c>
      <c r="V360" s="205">
        <f>SUM(V361:V363)</f>
        <v>0</v>
      </c>
      <c r="W360" s="205">
        <f>SUM(U360:V360)</f>
        <v>1630065</v>
      </c>
      <c r="X360" s="205">
        <f>SUM(X361:X363)</f>
        <v>1630065</v>
      </c>
      <c r="Y360" s="205">
        <f>SUM(Y361:Y363)</f>
        <v>0</v>
      </c>
      <c r="Z360" s="205">
        <f>SUM(X360:Y360)</f>
        <v>1630065</v>
      </c>
      <c r="AA360" s="205">
        <f>SUM(AA361:AA363)</f>
        <v>1630065</v>
      </c>
      <c r="AB360" s="205">
        <f>SUM(AB361:AB363)</f>
        <v>0</v>
      </c>
      <c r="AC360" s="205">
        <f>SUM(AA360:AB360)</f>
        <v>1630065</v>
      </c>
      <c r="AD360" s="205">
        <f t="shared" ref="AD360" si="651">I360+L360+O360+R360+U360+X360+AA360</f>
        <v>11410455</v>
      </c>
      <c r="AE360" s="205">
        <f t="shared" ref="AE360" si="652">J360+M360+P360+S360+V360+Y360+AB360</f>
        <v>0</v>
      </c>
      <c r="AF360" s="205">
        <f>SUM(AD360:AE360)</f>
        <v>11410455</v>
      </c>
      <c r="AG360" s="205">
        <f>SUM(AG361:AG363)</f>
        <v>4890195</v>
      </c>
      <c r="AH360" s="205">
        <f>SUM(AH361:AH363)</f>
        <v>0</v>
      </c>
      <c r="AI360" s="205">
        <f>SUM(AG360:AH360)</f>
        <v>4890195</v>
      </c>
      <c r="AJ360" s="300">
        <f>SUM(AJ361:AJ363)</f>
        <v>0</v>
      </c>
      <c r="AK360" s="300">
        <f>SUM(AK361:AK363)</f>
        <v>0</v>
      </c>
      <c r="AL360" s="205"/>
      <c r="AM360" s="205">
        <f>AJ360+AK360</f>
        <v>0</v>
      </c>
      <c r="AN360" s="205">
        <f>SUM(AN361:AN363)</f>
        <v>6520260</v>
      </c>
      <c r="AO360" s="205">
        <f>SUM(AO361:AO363)</f>
        <v>0</v>
      </c>
      <c r="AP360" s="205">
        <f>SUM(AN360:AO360)</f>
        <v>6520260</v>
      </c>
      <c r="AQ360" s="211">
        <f>SUM(AP360+AM360+AI360)-AF360</f>
        <v>0</v>
      </c>
      <c r="AR360" s="41"/>
    </row>
    <row r="361" spans="2:44" s="46" customFormat="1" ht="50.45" customHeight="1">
      <c r="B361" s="39" t="s">
        <v>794</v>
      </c>
      <c r="C361" s="73" t="s">
        <v>798</v>
      </c>
      <c r="D361" s="39"/>
      <c r="E361" s="39" t="s">
        <v>98</v>
      </c>
      <c r="F361" s="39"/>
      <c r="G361" s="546">
        <v>2024</v>
      </c>
      <c r="H361" s="71">
        <v>2024</v>
      </c>
      <c r="I361" s="7">
        <v>0</v>
      </c>
      <c r="J361" s="7">
        <v>0</v>
      </c>
      <c r="K361" s="266">
        <f t="shared" si="640"/>
        <v>0</v>
      </c>
      <c r="L361" s="7">
        <v>0</v>
      </c>
      <c r="M361" s="7">
        <v>0</v>
      </c>
      <c r="N361" s="266">
        <f t="shared" si="641"/>
        <v>0</v>
      </c>
      <c r="O361" s="84">
        <v>0</v>
      </c>
      <c r="P361" s="84">
        <v>0</v>
      </c>
      <c r="Q361" s="266">
        <f t="shared" si="642"/>
        <v>0</v>
      </c>
      <c r="R361" s="84">
        <v>0</v>
      </c>
      <c r="S361" s="84">
        <v>0</v>
      </c>
      <c r="T361" s="266">
        <f t="shared" si="643"/>
        <v>0</v>
      </c>
      <c r="U361" s="84">
        <v>0</v>
      </c>
      <c r="V361" s="84">
        <v>0</v>
      </c>
      <c r="W361" s="266">
        <f t="shared" si="644"/>
        <v>0</v>
      </c>
      <c r="X361" s="84">
        <v>0</v>
      </c>
      <c r="Y361" s="84">
        <v>0</v>
      </c>
      <c r="Z361" s="266">
        <f t="shared" si="645"/>
        <v>0</v>
      </c>
      <c r="AA361" s="84"/>
      <c r="AB361" s="84">
        <v>0</v>
      </c>
      <c r="AC361" s="266">
        <f t="shared" si="646"/>
        <v>0</v>
      </c>
      <c r="AD361" s="84"/>
      <c r="AE361" s="84">
        <f t="shared" ref="AD361:AE363" si="653">J361+M361+P361+S361+V361+Y361+AB361</f>
        <v>0</v>
      </c>
      <c r="AF361" s="266">
        <f t="shared" si="647"/>
        <v>0</v>
      </c>
      <c r="AG361" s="84">
        <v>0</v>
      </c>
      <c r="AH361" s="84">
        <v>0</v>
      </c>
      <c r="AI361" s="266">
        <f t="shared" si="648"/>
        <v>0</v>
      </c>
      <c r="AJ361" s="122">
        <v>0</v>
      </c>
      <c r="AK361" s="122">
        <v>0</v>
      </c>
      <c r="AL361" s="84"/>
      <c r="AM361" s="266">
        <f t="shared" si="649"/>
        <v>0</v>
      </c>
      <c r="AN361" s="84">
        <v>0</v>
      </c>
      <c r="AO361" s="84">
        <v>0</v>
      </c>
      <c r="AP361" s="266">
        <f t="shared" si="650"/>
        <v>0</v>
      </c>
      <c r="AQ361" s="322">
        <f t="shared" si="603"/>
        <v>0</v>
      </c>
      <c r="AR361" s="41"/>
    </row>
    <row r="362" spans="2:44" s="46" customFormat="1" ht="30.6" customHeight="1">
      <c r="B362" s="39" t="s">
        <v>795</v>
      </c>
      <c r="C362" s="73" t="s">
        <v>799</v>
      </c>
      <c r="D362" s="39" t="s">
        <v>768</v>
      </c>
      <c r="E362" s="39" t="s">
        <v>212</v>
      </c>
      <c r="F362" s="39" t="s">
        <v>768</v>
      </c>
      <c r="G362" s="546">
        <v>2024</v>
      </c>
      <c r="H362" s="71">
        <v>2030</v>
      </c>
      <c r="I362" s="7">
        <v>543355</v>
      </c>
      <c r="J362" s="7">
        <v>0</v>
      </c>
      <c r="K362" s="266">
        <f t="shared" si="640"/>
        <v>543355</v>
      </c>
      <c r="L362" s="7">
        <v>543355</v>
      </c>
      <c r="M362" s="7">
        <v>0</v>
      </c>
      <c r="N362" s="266">
        <f t="shared" si="641"/>
        <v>543355</v>
      </c>
      <c r="O362" s="7">
        <v>543355</v>
      </c>
      <c r="P362" s="7">
        <v>0</v>
      </c>
      <c r="Q362" s="266">
        <f t="shared" si="642"/>
        <v>543355</v>
      </c>
      <c r="R362" s="7">
        <v>543355</v>
      </c>
      <c r="S362" s="7">
        <v>0</v>
      </c>
      <c r="T362" s="266">
        <f t="shared" si="643"/>
        <v>543355</v>
      </c>
      <c r="U362" s="7">
        <v>543355</v>
      </c>
      <c r="V362" s="7">
        <v>0</v>
      </c>
      <c r="W362" s="266">
        <f t="shared" si="644"/>
        <v>543355</v>
      </c>
      <c r="X362" s="7">
        <v>543355</v>
      </c>
      <c r="Y362" s="7">
        <v>0</v>
      </c>
      <c r="Z362" s="266">
        <f t="shared" si="645"/>
        <v>543355</v>
      </c>
      <c r="AA362" s="7">
        <v>543355</v>
      </c>
      <c r="AB362" s="7">
        <v>0</v>
      </c>
      <c r="AC362" s="266">
        <f t="shared" si="646"/>
        <v>543355</v>
      </c>
      <c r="AD362" s="84">
        <f t="shared" si="653"/>
        <v>3803485</v>
      </c>
      <c r="AE362" s="84">
        <f t="shared" si="653"/>
        <v>0</v>
      </c>
      <c r="AF362" s="266">
        <f t="shared" si="647"/>
        <v>3803485</v>
      </c>
      <c r="AG362" s="84">
        <f>543355*3</f>
        <v>1630065</v>
      </c>
      <c r="AH362" s="84">
        <v>0</v>
      </c>
      <c r="AI362" s="266">
        <f t="shared" si="648"/>
        <v>1630065</v>
      </c>
      <c r="AJ362" s="122">
        <v>0</v>
      </c>
      <c r="AK362" s="122">
        <v>0</v>
      </c>
      <c r="AL362" s="84"/>
      <c r="AM362" s="266">
        <f t="shared" si="649"/>
        <v>0</v>
      </c>
      <c r="AN362" s="84">
        <f>543355*4</f>
        <v>2173420</v>
      </c>
      <c r="AO362" s="84">
        <v>0</v>
      </c>
      <c r="AP362" s="266">
        <f t="shared" si="650"/>
        <v>2173420</v>
      </c>
      <c r="AQ362" s="299">
        <f t="shared" si="603"/>
        <v>0</v>
      </c>
      <c r="AR362" s="41"/>
    </row>
    <row r="363" spans="2:44" s="46" customFormat="1" ht="50.45" customHeight="1">
      <c r="B363" s="39" t="s">
        <v>796</v>
      </c>
      <c r="C363" s="66" t="s">
        <v>800</v>
      </c>
      <c r="D363" s="39" t="s">
        <v>768</v>
      </c>
      <c r="E363" s="39" t="s">
        <v>212</v>
      </c>
      <c r="F363" s="39" t="s">
        <v>768</v>
      </c>
      <c r="G363" s="546">
        <v>2024</v>
      </c>
      <c r="H363" s="71">
        <v>2030</v>
      </c>
      <c r="I363" s="7">
        <v>1086710</v>
      </c>
      <c r="J363" s="7">
        <v>0</v>
      </c>
      <c r="K363" s="266">
        <f t="shared" si="640"/>
        <v>1086710</v>
      </c>
      <c r="L363" s="7">
        <v>1086710</v>
      </c>
      <c r="M363" s="7">
        <v>0</v>
      </c>
      <c r="N363" s="266">
        <f t="shared" si="641"/>
        <v>1086710</v>
      </c>
      <c r="O363" s="7">
        <v>1086710</v>
      </c>
      <c r="P363" s="7">
        <v>0</v>
      </c>
      <c r="Q363" s="266">
        <f t="shared" si="642"/>
        <v>1086710</v>
      </c>
      <c r="R363" s="7">
        <v>1086710</v>
      </c>
      <c r="S363" s="7">
        <v>0</v>
      </c>
      <c r="T363" s="266">
        <f t="shared" si="643"/>
        <v>1086710</v>
      </c>
      <c r="U363" s="7">
        <v>1086710</v>
      </c>
      <c r="V363" s="7">
        <v>0</v>
      </c>
      <c r="W363" s="266">
        <f t="shared" si="644"/>
        <v>1086710</v>
      </c>
      <c r="X363" s="7">
        <v>1086710</v>
      </c>
      <c r="Y363" s="7">
        <v>0</v>
      </c>
      <c r="Z363" s="266">
        <f t="shared" si="645"/>
        <v>1086710</v>
      </c>
      <c r="AA363" s="7">
        <v>1086710</v>
      </c>
      <c r="AB363" s="7">
        <v>0</v>
      </c>
      <c r="AC363" s="266">
        <f t="shared" si="646"/>
        <v>1086710</v>
      </c>
      <c r="AD363" s="84">
        <f t="shared" si="653"/>
        <v>7606970</v>
      </c>
      <c r="AE363" s="84">
        <f t="shared" si="653"/>
        <v>0</v>
      </c>
      <c r="AF363" s="266">
        <f t="shared" si="647"/>
        <v>7606970</v>
      </c>
      <c r="AG363" s="84">
        <f>1086710*3</f>
        <v>3260130</v>
      </c>
      <c r="AH363" s="84">
        <v>0</v>
      </c>
      <c r="AI363" s="266">
        <f t="shared" si="648"/>
        <v>3260130</v>
      </c>
      <c r="AJ363" s="122">
        <v>0</v>
      </c>
      <c r="AK363" s="122">
        <v>0</v>
      </c>
      <c r="AL363" s="84"/>
      <c r="AM363" s="266">
        <f t="shared" si="649"/>
        <v>0</v>
      </c>
      <c r="AN363" s="84">
        <f>1086710*4</f>
        <v>4346840</v>
      </c>
      <c r="AO363" s="84">
        <v>0</v>
      </c>
      <c r="AP363" s="266">
        <f t="shared" si="650"/>
        <v>4346840</v>
      </c>
      <c r="AQ363" s="299">
        <f t="shared" si="603"/>
        <v>0</v>
      </c>
      <c r="AR363" s="41"/>
    </row>
    <row r="364" spans="2:44" s="4" customFormat="1" ht="36" customHeight="1">
      <c r="B364" s="186"/>
      <c r="C364" s="547" t="s">
        <v>26</v>
      </c>
      <c r="D364" s="548"/>
      <c r="E364" s="479"/>
      <c r="F364" s="479"/>
      <c r="G364" s="186"/>
      <c r="H364" s="186"/>
      <c r="I364" s="238">
        <f>SUM(I331,I335,I338,I342,I349,I356,I360)</f>
        <v>32771235</v>
      </c>
      <c r="J364" s="238">
        <f t="shared" ref="J364:AJ364" si="654">SUM(J331,J335,J338,J342,J349,J356,J360)</f>
        <v>0</v>
      </c>
      <c r="K364" s="238">
        <f t="shared" si="654"/>
        <v>32771235</v>
      </c>
      <c r="L364" s="238">
        <f t="shared" si="654"/>
        <v>52332015</v>
      </c>
      <c r="M364" s="238">
        <f t="shared" si="654"/>
        <v>0</v>
      </c>
      <c r="N364" s="238">
        <f t="shared" si="654"/>
        <v>52332015</v>
      </c>
      <c r="O364" s="238">
        <f t="shared" si="654"/>
        <v>45811755</v>
      </c>
      <c r="P364" s="238">
        <f t="shared" si="654"/>
        <v>0</v>
      </c>
      <c r="Q364" s="238">
        <f t="shared" si="654"/>
        <v>45811755</v>
      </c>
      <c r="R364" s="238">
        <f t="shared" si="654"/>
        <v>38204785</v>
      </c>
      <c r="S364" s="238">
        <f t="shared" si="654"/>
        <v>0</v>
      </c>
      <c r="T364" s="238">
        <f t="shared" si="654"/>
        <v>38204785</v>
      </c>
      <c r="U364" s="238">
        <f t="shared" si="654"/>
        <v>38204785</v>
      </c>
      <c r="V364" s="238">
        <f t="shared" si="654"/>
        <v>0</v>
      </c>
      <c r="W364" s="238">
        <f t="shared" si="654"/>
        <v>38204785</v>
      </c>
      <c r="X364" s="238">
        <f t="shared" si="654"/>
        <v>36031365</v>
      </c>
      <c r="Y364" s="238">
        <f t="shared" si="654"/>
        <v>0</v>
      </c>
      <c r="Z364" s="238">
        <f t="shared" si="654"/>
        <v>36031365</v>
      </c>
      <c r="AA364" s="238">
        <f t="shared" si="654"/>
        <v>36031365</v>
      </c>
      <c r="AB364" s="238">
        <f t="shared" si="654"/>
        <v>0</v>
      </c>
      <c r="AC364" s="238">
        <f t="shared" si="654"/>
        <v>36031365</v>
      </c>
      <c r="AD364" s="238">
        <f t="shared" si="654"/>
        <v>279387305</v>
      </c>
      <c r="AE364" s="238">
        <f t="shared" si="654"/>
        <v>0</v>
      </c>
      <c r="AF364" s="238">
        <f t="shared" si="654"/>
        <v>279387305</v>
      </c>
      <c r="AG364" s="238">
        <f t="shared" si="654"/>
        <v>130915005</v>
      </c>
      <c r="AH364" s="238">
        <f t="shared" si="654"/>
        <v>0</v>
      </c>
      <c r="AI364" s="238">
        <f t="shared" si="654"/>
        <v>130915005</v>
      </c>
      <c r="AJ364" s="238">
        <f t="shared" si="654"/>
        <v>0</v>
      </c>
      <c r="AK364" s="238">
        <f>AK356+AK349+AK342+AK338+AK335+AK331</f>
        <v>0</v>
      </c>
      <c r="AL364" s="238"/>
      <c r="AM364" s="238">
        <f t="shared" ref="AM364:AQ364" si="655">SUM(AM331,AM335,AM338,AM342,AM349,AM356,AM360)</f>
        <v>0</v>
      </c>
      <c r="AN364" s="238">
        <f t="shared" si="655"/>
        <v>148472300</v>
      </c>
      <c r="AO364" s="238">
        <f t="shared" si="655"/>
        <v>0</v>
      </c>
      <c r="AP364" s="238">
        <f t="shared" si="655"/>
        <v>148472300</v>
      </c>
      <c r="AQ364" s="239">
        <f t="shared" si="655"/>
        <v>0</v>
      </c>
      <c r="AR364" s="48"/>
    </row>
    <row r="365" spans="2:44" s="4" customFormat="1" ht="79.150000000000006" customHeight="1">
      <c r="B365" s="100">
        <v>3.3</v>
      </c>
      <c r="C365" s="123" t="s">
        <v>801</v>
      </c>
      <c r="D365" s="124"/>
      <c r="E365" s="125"/>
      <c r="F365" s="125"/>
      <c r="G365" s="125"/>
      <c r="H365" s="125"/>
      <c r="I365" s="126"/>
      <c r="J365" s="126"/>
      <c r="K365" s="126"/>
      <c r="L365" s="126"/>
      <c r="M365" s="126"/>
      <c r="N365" s="126"/>
      <c r="O365" s="126"/>
      <c r="P365" s="126"/>
      <c r="Q365" s="126"/>
      <c r="R365" s="126"/>
      <c r="S365" s="126"/>
      <c r="T365" s="126"/>
      <c r="U365" s="126"/>
      <c r="V365" s="126"/>
      <c r="W365" s="126"/>
      <c r="X365" s="126"/>
      <c r="Y365" s="126"/>
      <c r="Z365" s="126"/>
      <c r="AA365" s="126"/>
      <c r="AB365" s="126"/>
      <c r="AC365" s="126"/>
      <c r="AD365" s="126"/>
      <c r="AE365" s="126"/>
      <c r="AF365" s="126"/>
      <c r="AG365" s="126"/>
      <c r="AH365" s="126"/>
      <c r="AI365" s="126"/>
      <c r="AJ365" s="126"/>
      <c r="AK365" s="126"/>
      <c r="AL365" s="126"/>
      <c r="AM365" s="126"/>
      <c r="AN365" s="126"/>
      <c r="AO365" s="126"/>
      <c r="AP365" s="126"/>
      <c r="AQ365" s="127"/>
      <c r="AR365" s="48"/>
    </row>
    <row r="366" spans="2:44" ht="36" customHeight="1">
      <c r="B366" s="61"/>
      <c r="C366" s="62" t="s">
        <v>68</v>
      </c>
      <c r="D366" s="92"/>
      <c r="E366" s="93"/>
      <c r="F366" s="93"/>
      <c r="G366" s="93"/>
      <c r="H366" s="93"/>
      <c r="I366" s="83"/>
      <c r="J366" s="83"/>
      <c r="K366" s="83"/>
      <c r="L366" s="83"/>
      <c r="M366" s="83"/>
      <c r="N366" s="83"/>
      <c r="O366" s="83"/>
      <c r="P366" s="83"/>
      <c r="Q366" s="83"/>
      <c r="R366" s="83"/>
      <c r="S366" s="83"/>
      <c r="T366" s="83"/>
      <c r="U366" s="83"/>
      <c r="V366" s="83"/>
      <c r="W366" s="83"/>
      <c r="X366" s="83"/>
      <c r="Y366" s="83"/>
      <c r="Z366" s="83"/>
      <c r="AA366" s="83"/>
      <c r="AB366" s="83"/>
      <c r="AC366" s="83"/>
      <c r="AD366" s="83"/>
      <c r="AE366" s="83"/>
      <c r="AF366" s="83"/>
      <c r="AG366" s="83"/>
      <c r="AH366" s="83"/>
      <c r="AI366" s="83"/>
      <c r="AJ366" s="83"/>
      <c r="AK366" s="83"/>
      <c r="AL366" s="83"/>
      <c r="AM366" s="83"/>
      <c r="AN366" s="83"/>
      <c r="AO366" s="83"/>
      <c r="AP366" s="83"/>
      <c r="AQ366" s="112"/>
      <c r="AR366" s="47"/>
    </row>
    <row r="367" spans="2:44" ht="82.5" customHeight="1" thickBot="1">
      <c r="B367" s="208" t="s">
        <v>13</v>
      </c>
      <c r="C367" s="258" t="s">
        <v>802</v>
      </c>
      <c r="D367" s="209"/>
      <c r="E367" s="192" t="s">
        <v>372</v>
      </c>
      <c r="F367" s="186"/>
      <c r="G367" s="185">
        <v>2025</v>
      </c>
      <c r="H367" s="185">
        <v>2030</v>
      </c>
      <c r="I367" s="189">
        <f>SUM(I368:I372)</f>
        <v>0</v>
      </c>
      <c r="J367" s="189">
        <f>SUM(J368:J372)</f>
        <v>0</v>
      </c>
      <c r="K367" s="197">
        <f>I367+J367</f>
        <v>0</v>
      </c>
      <c r="L367" s="189">
        <f>SUM(L368:L372)</f>
        <v>8693680</v>
      </c>
      <c r="M367" s="189">
        <f>SUM(M368:M372)</f>
        <v>0</v>
      </c>
      <c r="N367" s="197">
        <f>L367+M367</f>
        <v>8693680</v>
      </c>
      <c r="O367" s="189">
        <f>SUM(O368:O372)</f>
        <v>6520260</v>
      </c>
      <c r="P367" s="189">
        <f>SUM(P368:P372)</f>
        <v>0</v>
      </c>
      <c r="Q367" s="197">
        <f>O367+P367</f>
        <v>6520260</v>
      </c>
      <c r="R367" s="189">
        <f>SUM(R368:R372)</f>
        <v>3260130</v>
      </c>
      <c r="S367" s="189">
        <f>SUM(S368:S372)</f>
        <v>0</v>
      </c>
      <c r="T367" s="197">
        <f>R367+S367</f>
        <v>3260130</v>
      </c>
      <c r="U367" s="189">
        <f>SUM(U368:U372)</f>
        <v>3260130</v>
      </c>
      <c r="V367" s="189">
        <f>SUM(V368:V372)</f>
        <v>0</v>
      </c>
      <c r="W367" s="197">
        <f>U367+V367</f>
        <v>3260130</v>
      </c>
      <c r="X367" s="197">
        <f>SUM(X368:X372)</f>
        <v>3260130</v>
      </c>
      <c r="Y367" s="197">
        <f>SUM(Y368:Y372)</f>
        <v>0</v>
      </c>
      <c r="Z367" s="197">
        <f>SUM(X367:Y367)</f>
        <v>3260130</v>
      </c>
      <c r="AA367" s="197">
        <f>SUM(AA368:AA372)</f>
        <v>3260130</v>
      </c>
      <c r="AB367" s="197">
        <f>SUM(AB368:AB372)</f>
        <v>0</v>
      </c>
      <c r="AC367" s="197">
        <f>SUM(AA367:AB367)</f>
        <v>3260130</v>
      </c>
      <c r="AD367" s="197">
        <f t="shared" ref="AD367:AE398" si="656">I367+L367+O367+R367+U367+X367+AA367</f>
        <v>28254460</v>
      </c>
      <c r="AE367" s="197">
        <f t="shared" si="656"/>
        <v>0</v>
      </c>
      <c r="AF367" s="197">
        <f>AD367+AE367</f>
        <v>28254460</v>
      </c>
      <c r="AG367" s="189">
        <f>SUM(AG368:AG372)</f>
        <v>15213940</v>
      </c>
      <c r="AH367" s="189">
        <f>SUM(AH368:AH372)</f>
        <v>0</v>
      </c>
      <c r="AI367" s="197">
        <f>AG367+AH367</f>
        <v>15213940</v>
      </c>
      <c r="AJ367" s="189">
        <f>SUM(AJ368:AJ372)</f>
        <v>0</v>
      </c>
      <c r="AK367" s="189">
        <f>SUM(AK368:AK372)</f>
        <v>0</v>
      </c>
      <c r="AL367" s="197"/>
      <c r="AM367" s="197">
        <f t="shared" ref="AM367:AM398" si="657">AJ367+AK367</f>
        <v>0</v>
      </c>
      <c r="AN367" s="189">
        <f>SUM(AN368:AN372)</f>
        <v>13040520</v>
      </c>
      <c r="AO367" s="189">
        <f>SUM(AO368:AO372)</f>
        <v>0</v>
      </c>
      <c r="AP367" s="197">
        <f>AN367+AO367</f>
        <v>13040520</v>
      </c>
      <c r="AQ367" s="193">
        <f t="shared" si="603"/>
        <v>0</v>
      </c>
      <c r="AR367" s="47"/>
    </row>
    <row r="368" spans="2:44" ht="64.900000000000006" customHeight="1">
      <c r="B368" s="98" t="s">
        <v>148</v>
      </c>
      <c r="C368" s="549" t="s">
        <v>803</v>
      </c>
      <c r="D368" s="99"/>
      <c r="E368" s="323" t="s">
        <v>372</v>
      </c>
      <c r="F368" s="367"/>
      <c r="G368" s="351">
        <v>2025</v>
      </c>
      <c r="H368" s="351">
        <v>2025</v>
      </c>
      <c r="I368" s="7">
        <v>0</v>
      </c>
      <c r="J368" s="7">
        <v>0</v>
      </c>
      <c r="K368" s="264">
        <f t="shared" ref="K368:K372" si="658">I368+J368</f>
        <v>0</v>
      </c>
      <c r="L368" s="7">
        <f>1086710*3</f>
        <v>3260130</v>
      </c>
      <c r="M368" s="7">
        <v>0</v>
      </c>
      <c r="N368" s="264">
        <f t="shared" ref="N368:N372" si="659">L368+M368</f>
        <v>3260130</v>
      </c>
      <c r="O368" s="83">
        <v>0</v>
      </c>
      <c r="P368" s="83">
        <v>0</v>
      </c>
      <c r="Q368" s="264">
        <f t="shared" ref="Q368:Q372" si="660">O368+P368</f>
        <v>0</v>
      </c>
      <c r="R368" s="83">
        <v>0</v>
      </c>
      <c r="S368" s="83">
        <v>0</v>
      </c>
      <c r="T368" s="264">
        <f t="shared" ref="T368:T372" si="661">R368+S368</f>
        <v>0</v>
      </c>
      <c r="U368" s="83">
        <v>0</v>
      </c>
      <c r="V368" s="83">
        <v>0</v>
      </c>
      <c r="W368" s="264">
        <f t="shared" ref="W368:W372" si="662">U368+V368</f>
        <v>0</v>
      </c>
      <c r="X368" s="83">
        <v>0</v>
      </c>
      <c r="Y368" s="83">
        <v>0</v>
      </c>
      <c r="Z368" s="264">
        <f t="shared" ref="Z368:Z372" si="663">SUM(X368:Y368)</f>
        <v>0</v>
      </c>
      <c r="AA368" s="83">
        <v>0</v>
      </c>
      <c r="AB368" s="83">
        <v>0</v>
      </c>
      <c r="AC368" s="264">
        <f t="shared" ref="AC368:AC372" si="664">SUM(AA368:AB368)</f>
        <v>0</v>
      </c>
      <c r="AD368" s="83">
        <f t="shared" si="656"/>
        <v>3260130</v>
      </c>
      <c r="AE368" s="83">
        <f t="shared" si="656"/>
        <v>0</v>
      </c>
      <c r="AF368" s="264">
        <f t="shared" ref="AF368:AF372" si="665">AD368+AE368</f>
        <v>3260130</v>
      </c>
      <c r="AG368" s="83">
        <v>3260130</v>
      </c>
      <c r="AH368" s="83">
        <v>0</v>
      </c>
      <c r="AI368" s="264">
        <f t="shared" ref="AI368:AI372" si="666">AG368+AH368</f>
        <v>3260130</v>
      </c>
      <c r="AJ368" s="83">
        <v>0</v>
      </c>
      <c r="AK368" s="83">
        <v>0</v>
      </c>
      <c r="AL368" s="83"/>
      <c r="AM368" s="264">
        <f t="shared" si="657"/>
        <v>0</v>
      </c>
      <c r="AN368" s="83">
        <v>0</v>
      </c>
      <c r="AO368" s="83">
        <v>0</v>
      </c>
      <c r="AP368" s="264">
        <f t="shared" ref="AP368:AP372" si="667">AN368+AO368</f>
        <v>0</v>
      </c>
      <c r="AQ368" s="69">
        <f t="shared" si="603"/>
        <v>0</v>
      </c>
      <c r="AR368" s="47"/>
    </row>
    <row r="369" spans="2:44" ht="55.9" customHeight="1">
      <c r="B369" s="98" t="s">
        <v>149</v>
      </c>
      <c r="C369" s="529" t="s">
        <v>804</v>
      </c>
      <c r="D369" s="99"/>
      <c r="E369" s="39" t="s">
        <v>372</v>
      </c>
      <c r="F369" s="368"/>
      <c r="G369" s="345">
        <v>2026</v>
      </c>
      <c r="H369" s="345">
        <v>2026</v>
      </c>
      <c r="I369" s="7">
        <v>0</v>
      </c>
      <c r="J369" s="7">
        <v>0</v>
      </c>
      <c r="K369" s="264">
        <f t="shared" si="658"/>
        <v>0</v>
      </c>
      <c r="L369" s="7">
        <v>0</v>
      </c>
      <c r="M369" s="7">
        <v>0</v>
      </c>
      <c r="N369" s="264">
        <f t="shared" si="659"/>
        <v>0</v>
      </c>
      <c r="O369" s="83">
        <v>3260130</v>
      </c>
      <c r="P369" s="83">
        <v>0</v>
      </c>
      <c r="Q369" s="264">
        <f t="shared" si="660"/>
        <v>3260130</v>
      </c>
      <c r="R369" s="83">
        <v>0</v>
      </c>
      <c r="S369" s="83">
        <v>0</v>
      </c>
      <c r="T369" s="264">
        <f t="shared" si="661"/>
        <v>0</v>
      </c>
      <c r="U369" s="83">
        <v>0</v>
      </c>
      <c r="V369" s="83">
        <v>0</v>
      </c>
      <c r="W369" s="264">
        <f t="shared" si="662"/>
        <v>0</v>
      </c>
      <c r="X369" s="83">
        <v>0</v>
      </c>
      <c r="Y369" s="83">
        <v>0</v>
      </c>
      <c r="Z369" s="264">
        <f t="shared" si="663"/>
        <v>0</v>
      </c>
      <c r="AA369" s="83">
        <v>0</v>
      </c>
      <c r="AB369" s="83">
        <v>0</v>
      </c>
      <c r="AC369" s="264">
        <f t="shared" si="664"/>
        <v>0</v>
      </c>
      <c r="AD369" s="83">
        <f t="shared" si="656"/>
        <v>3260130</v>
      </c>
      <c r="AE369" s="83">
        <f t="shared" si="656"/>
        <v>0</v>
      </c>
      <c r="AF369" s="264">
        <f t="shared" si="665"/>
        <v>3260130</v>
      </c>
      <c r="AG369" s="83">
        <v>3260130</v>
      </c>
      <c r="AH369" s="83">
        <v>0</v>
      </c>
      <c r="AI369" s="264">
        <f t="shared" si="666"/>
        <v>3260130</v>
      </c>
      <c r="AJ369" s="83">
        <v>0</v>
      </c>
      <c r="AK369" s="83">
        <v>0</v>
      </c>
      <c r="AL369" s="83"/>
      <c r="AM369" s="264">
        <f t="shared" si="657"/>
        <v>0</v>
      </c>
      <c r="AN369" s="83">
        <v>0</v>
      </c>
      <c r="AO369" s="83">
        <v>0</v>
      </c>
      <c r="AP369" s="264">
        <f t="shared" si="667"/>
        <v>0</v>
      </c>
      <c r="AQ369" s="69">
        <f t="shared" si="603"/>
        <v>0</v>
      </c>
      <c r="AR369" s="47"/>
    </row>
    <row r="370" spans="2:44" ht="52.9" customHeight="1">
      <c r="B370" s="98" t="s">
        <v>240</v>
      </c>
      <c r="C370" s="529" t="s">
        <v>805</v>
      </c>
      <c r="D370" s="99"/>
      <c r="E370" s="39" t="s">
        <v>372</v>
      </c>
      <c r="F370" s="368" t="s">
        <v>243</v>
      </c>
      <c r="G370" s="345">
        <v>2025</v>
      </c>
      <c r="H370" s="345">
        <v>2025</v>
      </c>
      <c r="I370" s="7">
        <v>0</v>
      </c>
      <c r="J370" s="7">
        <v>0</v>
      </c>
      <c r="K370" s="264">
        <f t="shared" si="658"/>
        <v>0</v>
      </c>
      <c r="L370" s="7">
        <f>2*1086710</f>
        <v>2173420</v>
      </c>
      <c r="M370" s="7">
        <v>0</v>
      </c>
      <c r="N370" s="264">
        <f t="shared" si="659"/>
        <v>2173420</v>
      </c>
      <c r="O370" s="83">
        <v>0</v>
      </c>
      <c r="P370" s="83">
        <v>0</v>
      </c>
      <c r="Q370" s="264">
        <f t="shared" si="660"/>
        <v>0</v>
      </c>
      <c r="R370" s="83">
        <v>0</v>
      </c>
      <c r="S370" s="83">
        <v>0</v>
      </c>
      <c r="T370" s="264">
        <f t="shared" si="661"/>
        <v>0</v>
      </c>
      <c r="U370" s="83">
        <v>0</v>
      </c>
      <c r="V370" s="83">
        <v>0</v>
      </c>
      <c r="W370" s="264">
        <f t="shared" si="662"/>
        <v>0</v>
      </c>
      <c r="X370" s="83">
        <v>0</v>
      </c>
      <c r="Y370" s="83">
        <v>0</v>
      </c>
      <c r="Z370" s="264">
        <f t="shared" si="663"/>
        <v>0</v>
      </c>
      <c r="AA370" s="83"/>
      <c r="AB370" s="83">
        <v>0</v>
      </c>
      <c r="AC370" s="264">
        <f t="shared" si="664"/>
        <v>0</v>
      </c>
      <c r="AD370" s="83">
        <f t="shared" si="656"/>
        <v>2173420</v>
      </c>
      <c r="AE370" s="83">
        <f t="shared" si="656"/>
        <v>0</v>
      </c>
      <c r="AF370" s="264">
        <f t="shared" si="665"/>
        <v>2173420</v>
      </c>
      <c r="AG370" s="83">
        <v>2173420</v>
      </c>
      <c r="AH370" s="83">
        <v>0</v>
      </c>
      <c r="AI370" s="264">
        <f t="shared" si="666"/>
        <v>2173420</v>
      </c>
      <c r="AJ370" s="83">
        <v>0</v>
      </c>
      <c r="AK370" s="83">
        <v>0</v>
      </c>
      <c r="AL370" s="83"/>
      <c r="AM370" s="264">
        <f t="shared" si="657"/>
        <v>0</v>
      </c>
      <c r="AN370" s="83">
        <v>0</v>
      </c>
      <c r="AO370" s="83">
        <v>0</v>
      </c>
      <c r="AP370" s="264">
        <f t="shared" si="667"/>
        <v>0</v>
      </c>
      <c r="AQ370" s="69">
        <f t="shared" si="603"/>
        <v>0</v>
      </c>
      <c r="AR370" s="47"/>
    </row>
    <row r="371" spans="2:44" ht="40.15" customHeight="1">
      <c r="B371" s="98" t="s">
        <v>241</v>
      </c>
      <c r="C371" s="529" t="s">
        <v>806</v>
      </c>
      <c r="D371" s="99"/>
      <c r="E371" s="39" t="s">
        <v>372</v>
      </c>
      <c r="F371" s="39"/>
      <c r="G371" s="345">
        <v>2026</v>
      </c>
      <c r="H371" s="345">
        <v>2030</v>
      </c>
      <c r="I371" s="7">
        <v>0</v>
      </c>
      <c r="J371" s="7">
        <v>0</v>
      </c>
      <c r="K371" s="264">
        <f t="shared" si="658"/>
        <v>0</v>
      </c>
      <c r="L371" s="7">
        <v>0</v>
      </c>
      <c r="M371" s="7">
        <v>0</v>
      </c>
      <c r="N371" s="264">
        <f t="shared" si="659"/>
        <v>0</v>
      </c>
      <c r="O371" s="83">
        <v>0</v>
      </c>
      <c r="P371" s="83">
        <v>0</v>
      </c>
      <c r="Q371" s="264">
        <f t="shared" si="660"/>
        <v>0</v>
      </c>
      <c r="R371" s="83">
        <v>0</v>
      </c>
      <c r="S371" s="83">
        <v>0</v>
      </c>
      <c r="T371" s="264">
        <f t="shared" si="661"/>
        <v>0</v>
      </c>
      <c r="U371" s="83">
        <v>0</v>
      </c>
      <c r="V371" s="83">
        <v>0</v>
      </c>
      <c r="W371" s="264">
        <f t="shared" si="662"/>
        <v>0</v>
      </c>
      <c r="X371" s="83">
        <v>0</v>
      </c>
      <c r="Y371" s="83">
        <v>0</v>
      </c>
      <c r="Z371" s="264">
        <f t="shared" si="663"/>
        <v>0</v>
      </c>
      <c r="AA371" s="83">
        <v>0</v>
      </c>
      <c r="AB371" s="83">
        <v>0</v>
      </c>
      <c r="AC371" s="264">
        <f t="shared" si="664"/>
        <v>0</v>
      </c>
      <c r="AD371" s="83">
        <f t="shared" si="656"/>
        <v>0</v>
      </c>
      <c r="AE371" s="83">
        <f t="shared" si="656"/>
        <v>0</v>
      </c>
      <c r="AF371" s="264">
        <f t="shared" si="665"/>
        <v>0</v>
      </c>
      <c r="AG371" s="83">
        <v>0</v>
      </c>
      <c r="AH371" s="83">
        <v>0</v>
      </c>
      <c r="AI371" s="264">
        <f t="shared" si="666"/>
        <v>0</v>
      </c>
      <c r="AJ371" s="83">
        <v>0</v>
      </c>
      <c r="AK371" s="83">
        <v>0</v>
      </c>
      <c r="AL371" s="83"/>
      <c r="AM371" s="264">
        <f t="shared" si="657"/>
        <v>0</v>
      </c>
      <c r="AN371" s="83">
        <v>0</v>
      </c>
      <c r="AO371" s="83">
        <v>0</v>
      </c>
      <c r="AP371" s="264">
        <f t="shared" si="667"/>
        <v>0</v>
      </c>
      <c r="AQ371" s="69">
        <f t="shared" si="603"/>
        <v>0</v>
      </c>
      <c r="AR371" s="47"/>
    </row>
    <row r="372" spans="2:44" ht="51.6" customHeight="1">
      <c r="B372" s="98" t="s">
        <v>1592</v>
      </c>
      <c r="C372" s="529" t="s">
        <v>807</v>
      </c>
      <c r="D372" s="99"/>
      <c r="E372" s="39" t="s">
        <v>372</v>
      </c>
      <c r="F372" s="39"/>
      <c r="G372" s="345">
        <v>2026</v>
      </c>
      <c r="H372" s="345">
        <v>2030</v>
      </c>
      <c r="I372" s="7">
        <v>0</v>
      </c>
      <c r="J372" s="7">
        <v>0</v>
      </c>
      <c r="K372" s="264">
        <f t="shared" si="658"/>
        <v>0</v>
      </c>
      <c r="L372" s="7">
        <v>3260130</v>
      </c>
      <c r="M372" s="7">
        <v>0</v>
      </c>
      <c r="N372" s="264">
        <f t="shared" si="659"/>
        <v>3260130</v>
      </c>
      <c r="O372" s="83">
        <v>3260130</v>
      </c>
      <c r="P372" s="83">
        <v>0</v>
      </c>
      <c r="Q372" s="264">
        <f t="shared" si="660"/>
        <v>3260130</v>
      </c>
      <c r="R372" s="83">
        <v>3260130</v>
      </c>
      <c r="S372" s="83">
        <v>0</v>
      </c>
      <c r="T372" s="264">
        <f t="shared" si="661"/>
        <v>3260130</v>
      </c>
      <c r="U372" s="83">
        <v>3260130</v>
      </c>
      <c r="V372" s="83">
        <v>0</v>
      </c>
      <c r="W372" s="264">
        <f t="shared" si="662"/>
        <v>3260130</v>
      </c>
      <c r="X372" s="83">
        <v>3260130</v>
      </c>
      <c r="Y372" s="83">
        <v>0</v>
      </c>
      <c r="Z372" s="264">
        <f t="shared" si="663"/>
        <v>3260130</v>
      </c>
      <c r="AA372" s="83">
        <v>3260130</v>
      </c>
      <c r="AB372" s="83">
        <v>0</v>
      </c>
      <c r="AC372" s="264">
        <f t="shared" si="664"/>
        <v>3260130</v>
      </c>
      <c r="AD372" s="83">
        <f t="shared" si="656"/>
        <v>19560780</v>
      </c>
      <c r="AE372" s="83">
        <f t="shared" si="656"/>
        <v>0</v>
      </c>
      <c r="AF372" s="264">
        <f t="shared" si="665"/>
        <v>19560780</v>
      </c>
      <c r="AG372" s="83">
        <f>3260130*2</f>
        <v>6520260</v>
      </c>
      <c r="AH372" s="83">
        <v>0</v>
      </c>
      <c r="AI372" s="264">
        <f t="shared" si="666"/>
        <v>6520260</v>
      </c>
      <c r="AJ372" s="83">
        <v>0</v>
      </c>
      <c r="AK372" s="83">
        <v>0</v>
      </c>
      <c r="AL372" s="83"/>
      <c r="AM372" s="264">
        <f t="shared" si="657"/>
        <v>0</v>
      </c>
      <c r="AN372" s="83">
        <f>3260130*4</f>
        <v>13040520</v>
      </c>
      <c r="AO372" s="83">
        <v>0</v>
      </c>
      <c r="AP372" s="264">
        <f t="shared" si="667"/>
        <v>13040520</v>
      </c>
      <c r="AQ372" s="766">
        <f t="shared" si="603"/>
        <v>0</v>
      </c>
      <c r="AR372" s="47"/>
    </row>
    <row r="373" spans="2:44" ht="62.25" customHeight="1">
      <c r="B373" s="213" t="s">
        <v>14</v>
      </c>
      <c r="C373" s="258" t="s">
        <v>1601</v>
      </c>
      <c r="D373" s="209"/>
      <c r="E373" s="192" t="s">
        <v>830</v>
      </c>
      <c r="F373" s="186"/>
      <c r="G373" s="185">
        <v>2024</v>
      </c>
      <c r="H373" s="185">
        <v>2030</v>
      </c>
      <c r="I373" s="189">
        <f>SUM(I374:I384)</f>
        <v>16750650</v>
      </c>
      <c r="J373" s="189">
        <f>SUM(J374:J384)</f>
        <v>0</v>
      </c>
      <c r="K373" s="197">
        <f>I373+J373</f>
        <v>16750650</v>
      </c>
      <c r="L373" s="189">
        <f>SUM(L374:L384)</f>
        <v>13490520</v>
      </c>
      <c r="M373" s="189">
        <f>SUM(M374:M384)</f>
        <v>0</v>
      </c>
      <c r="N373" s="197">
        <f>L373+M373</f>
        <v>13490520</v>
      </c>
      <c r="O373" s="189">
        <f>SUM(O374:O384)</f>
        <v>13490520</v>
      </c>
      <c r="P373" s="189">
        <f>SUM(P374:P384)</f>
        <v>6000000</v>
      </c>
      <c r="Q373" s="197">
        <f>O373+P373</f>
        <v>19490520</v>
      </c>
      <c r="R373" s="189">
        <f>SUM(R374:R384)</f>
        <v>11317100</v>
      </c>
      <c r="S373" s="189">
        <f>SUM(S374:S384)</f>
        <v>0</v>
      </c>
      <c r="T373" s="197">
        <f>R373+S373</f>
        <v>11317100</v>
      </c>
      <c r="U373" s="189">
        <f>SUM(U374:U384)</f>
        <v>11317100</v>
      </c>
      <c r="V373" s="189">
        <f>SUM(V374:V384)</f>
        <v>0</v>
      </c>
      <c r="W373" s="197">
        <f>U373+V373</f>
        <v>11317100</v>
      </c>
      <c r="X373" s="197">
        <f>SUM(X374:X384)</f>
        <v>11317100</v>
      </c>
      <c r="Y373" s="197">
        <f>SUM(Y374:Y384)</f>
        <v>0</v>
      </c>
      <c r="Z373" s="197">
        <f>SUM(X373:Y373)</f>
        <v>11317100</v>
      </c>
      <c r="AA373" s="197">
        <f>SUM(AA374:AA384)</f>
        <v>11317100</v>
      </c>
      <c r="AB373" s="197">
        <f>SUM(AB374:AB384)</f>
        <v>0</v>
      </c>
      <c r="AC373" s="197">
        <f>SUM(AA373:AB373)</f>
        <v>11317100</v>
      </c>
      <c r="AD373" s="197">
        <f t="shared" si="656"/>
        <v>89000090</v>
      </c>
      <c r="AE373" s="197">
        <f t="shared" si="656"/>
        <v>6000000</v>
      </c>
      <c r="AF373" s="197">
        <f>AD373+AE373</f>
        <v>95000090</v>
      </c>
      <c r="AG373" s="189">
        <f>SUM(AG374:AG384)</f>
        <v>43731690</v>
      </c>
      <c r="AH373" s="189">
        <f>SUM(AH374:AH384)</f>
        <v>0</v>
      </c>
      <c r="AI373" s="197">
        <f>AG373+AH373</f>
        <v>43731690</v>
      </c>
      <c r="AJ373" s="189">
        <f>SUM(AJ374:AJ384)</f>
        <v>0</v>
      </c>
      <c r="AK373" s="189">
        <f>SUM(AK374:AK384)</f>
        <v>0</v>
      </c>
      <c r="AL373" s="197"/>
      <c r="AM373" s="197">
        <f t="shared" si="657"/>
        <v>0</v>
      </c>
      <c r="AN373" s="189">
        <f>SUM(AN374:AN384)</f>
        <v>45268400</v>
      </c>
      <c r="AO373" s="189">
        <f>SUM(AO374:AO384)</f>
        <v>0</v>
      </c>
      <c r="AP373" s="197">
        <f>AN373+AO373</f>
        <v>45268400</v>
      </c>
      <c r="AQ373" s="193">
        <f t="shared" si="603"/>
        <v>-6000000</v>
      </c>
      <c r="AR373" s="47"/>
    </row>
    <row r="374" spans="2:44" ht="62.25" customHeight="1">
      <c r="B374" s="52" t="s">
        <v>150</v>
      </c>
      <c r="C374" s="327" t="s">
        <v>817</v>
      </c>
      <c r="D374" s="99"/>
      <c r="E374" s="278" t="s">
        <v>372</v>
      </c>
      <c r="F374" s="278"/>
      <c r="G374" s="345">
        <v>2024</v>
      </c>
      <c r="H374" s="345">
        <v>2030</v>
      </c>
      <c r="I374" s="7">
        <v>2173420</v>
      </c>
      <c r="J374" s="7">
        <v>0</v>
      </c>
      <c r="K374" s="264">
        <f t="shared" ref="K374:K384" si="668">SUM(I374:J374)</f>
        <v>2173420</v>
      </c>
      <c r="L374" s="7">
        <v>2173420</v>
      </c>
      <c r="M374" s="7">
        <v>0</v>
      </c>
      <c r="N374" s="264">
        <f t="shared" ref="N374:N384" si="669">SUM(L374:M374)</f>
        <v>2173420</v>
      </c>
      <c r="O374" s="7">
        <v>2173420</v>
      </c>
      <c r="P374" s="7">
        <v>0</v>
      </c>
      <c r="Q374" s="264">
        <f t="shared" ref="Q374:Q384" si="670">SUM(O374:P374)</f>
        <v>2173420</v>
      </c>
      <c r="R374" s="7">
        <v>2173420</v>
      </c>
      <c r="S374" s="7">
        <v>0</v>
      </c>
      <c r="T374" s="264">
        <f t="shared" ref="T374:T384" si="671">SUM(R374:S374)</f>
        <v>2173420</v>
      </c>
      <c r="U374" s="7">
        <v>2173420</v>
      </c>
      <c r="V374" s="7">
        <v>0</v>
      </c>
      <c r="W374" s="264">
        <f t="shared" ref="W374:W384" si="672">SUM(U374:V374)</f>
        <v>2173420</v>
      </c>
      <c r="X374" s="7">
        <v>2173420</v>
      </c>
      <c r="Y374" s="7">
        <v>0</v>
      </c>
      <c r="Z374" s="264">
        <f t="shared" ref="Z374:Z384" si="673">SUM(X374:Y374)</f>
        <v>2173420</v>
      </c>
      <c r="AA374" s="7">
        <v>2173420</v>
      </c>
      <c r="AB374" s="7">
        <v>0</v>
      </c>
      <c r="AC374" s="264">
        <f t="shared" ref="AC374:AC384" si="674">SUM(AA374:AB374)</f>
        <v>2173420</v>
      </c>
      <c r="AD374" s="83">
        <f t="shared" si="656"/>
        <v>15213940</v>
      </c>
      <c r="AE374" s="83">
        <f t="shared" si="656"/>
        <v>0</v>
      </c>
      <c r="AF374" s="264">
        <f t="shared" ref="AF374:AF384" si="675">AD374+AE374</f>
        <v>15213940</v>
      </c>
      <c r="AG374" s="83">
        <f>2173420*3</f>
        <v>6520260</v>
      </c>
      <c r="AH374" s="83">
        <v>0</v>
      </c>
      <c r="AI374" s="264">
        <f t="shared" ref="AI374:AI384" si="676">SUM(AG374:AH374)</f>
        <v>6520260</v>
      </c>
      <c r="AJ374" s="106">
        <v>0</v>
      </c>
      <c r="AK374" s="106">
        <v>0</v>
      </c>
      <c r="AL374" s="83"/>
      <c r="AM374" s="264">
        <f t="shared" si="657"/>
        <v>0</v>
      </c>
      <c r="AN374" s="83">
        <f>2173420*4</f>
        <v>8693680</v>
      </c>
      <c r="AO374" s="83">
        <v>0</v>
      </c>
      <c r="AP374" s="264">
        <f t="shared" ref="AP374:AP384" si="677">SUM(AN374:AO374)</f>
        <v>8693680</v>
      </c>
      <c r="AQ374" s="69">
        <f t="shared" si="603"/>
        <v>0</v>
      </c>
      <c r="AR374" s="47"/>
    </row>
    <row r="375" spans="2:44" ht="28.9" customHeight="1">
      <c r="B375" s="52" t="s">
        <v>151</v>
      </c>
      <c r="C375" s="554" t="s">
        <v>769</v>
      </c>
      <c r="D375" s="99"/>
      <c r="E375" s="278" t="s">
        <v>372</v>
      </c>
      <c r="F375" s="278"/>
      <c r="G375" s="345">
        <v>2024</v>
      </c>
      <c r="H375" s="345">
        <v>2030</v>
      </c>
      <c r="I375" s="7">
        <v>3260130</v>
      </c>
      <c r="J375" s="7">
        <v>0</v>
      </c>
      <c r="K375" s="264">
        <f t="shared" si="668"/>
        <v>3260130</v>
      </c>
      <c r="L375" s="7">
        <v>3260130</v>
      </c>
      <c r="M375" s="7">
        <v>0</v>
      </c>
      <c r="N375" s="264">
        <f t="shared" si="669"/>
        <v>3260130</v>
      </c>
      <c r="O375" s="83">
        <v>3260130</v>
      </c>
      <c r="P375" s="83">
        <v>0</v>
      </c>
      <c r="Q375" s="264">
        <f t="shared" si="670"/>
        <v>3260130</v>
      </c>
      <c r="R375" s="83">
        <v>3260130</v>
      </c>
      <c r="S375" s="83">
        <v>0</v>
      </c>
      <c r="T375" s="264">
        <f t="shared" si="671"/>
        <v>3260130</v>
      </c>
      <c r="U375" s="83">
        <v>3260130</v>
      </c>
      <c r="V375" s="83">
        <v>0</v>
      </c>
      <c r="W375" s="264">
        <f t="shared" si="672"/>
        <v>3260130</v>
      </c>
      <c r="X375" s="83">
        <v>3260130</v>
      </c>
      <c r="Y375" s="83">
        <v>0</v>
      </c>
      <c r="Z375" s="264">
        <f t="shared" si="673"/>
        <v>3260130</v>
      </c>
      <c r="AA375" s="83">
        <v>3260130</v>
      </c>
      <c r="AB375" s="83">
        <v>0</v>
      </c>
      <c r="AC375" s="264">
        <f t="shared" si="674"/>
        <v>3260130</v>
      </c>
      <c r="AD375" s="83">
        <f t="shared" si="656"/>
        <v>22820910</v>
      </c>
      <c r="AE375" s="83">
        <f t="shared" si="656"/>
        <v>0</v>
      </c>
      <c r="AF375" s="264">
        <f t="shared" si="675"/>
        <v>22820910</v>
      </c>
      <c r="AG375" s="83">
        <f>3260130*3</f>
        <v>9780390</v>
      </c>
      <c r="AH375" s="83">
        <v>0</v>
      </c>
      <c r="AI375" s="264">
        <f t="shared" si="676"/>
        <v>9780390</v>
      </c>
      <c r="AJ375" s="106">
        <v>0</v>
      </c>
      <c r="AK375" s="106">
        <v>0</v>
      </c>
      <c r="AL375" s="83"/>
      <c r="AM375" s="264">
        <f t="shared" si="657"/>
        <v>0</v>
      </c>
      <c r="AN375" s="83">
        <f>3260130*4</f>
        <v>13040520</v>
      </c>
      <c r="AO375" s="83">
        <v>0</v>
      </c>
      <c r="AP375" s="264">
        <f t="shared" si="677"/>
        <v>13040520</v>
      </c>
      <c r="AQ375" s="69">
        <f t="shared" si="603"/>
        <v>0</v>
      </c>
      <c r="AR375" s="47"/>
    </row>
    <row r="376" spans="2:44" ht="41.45" customHeight="1">
      <c r="B376" s="98" t="s">
        <v>808</v>
      </c>
      <c r="C376" s="554" t="s">
        <v>818</v>
      </c>
      <c r="D376" s="99"/>
      <c r="E376" s="278" t="s">
        <v>372</v>
      </c>
      <c r="F376" s="278"/>
      <c r="G376" s="345">
        <v>2026</v>
      </c>
      <c r="H376" s="345">
        <v>2026</v>
      </c>
      <c r="I376" s="7">
        <v>0</v>
      </c>
      <c r="J376" s="7">
        <v>0</v>
      </c>
      <c r="K376" s="264">
        <f t="shared" si="668"/>
        <v>0</v>
      </c>
      <c r="L376" s="7">
        <v>0</v>
      </c>
      <c r="M376" s="7">
        <v>0</v>
      </c>
      <c r="N376" s="264">
        <f t="shared" si="669"/>
        <v>0</v>
      </c>
      <c r="O376" s="83">
        <v>2173420</v>
      </c>
      <c r="P376" s="83">
        <v>0</v>
      </c>
      <c r="Q376" s="264">
        <f t="shared" si="670"/>
        <v>2173420</v>
      </c>
      <c r="R376" s="83">
        <v>0</v>
      </c>
      <c r="S376" s="83">
        <v>0</v>
      </c>
      <c r="T376" s="264">
        <f t="shared" si="671"/>
        <v>0</v>
      </c>
      <c r="U376" s="83">
        <v>0</v>
      </c>
      <c r="V376" s="83">
        <v>0</v>
      </c>
      <c r="W376" s="264">
        <f t="shared" si="672"/>
        <v>0</v>
      </c>
      <c r="X376" s="83">
        <v>0</v>
      </c>
      <c r="Y376" s="83">
        <v>0</v>
      </c>
      <c r="Z376" s="264">
        <f t="shared" si="673"/>
        <v>0</v>
      </c>
      <c r="AA376" s="83">
        <v>0</v>
      </c>
      <c r="AB376" s="83">
        <v>0</v>
      </c>
      <c r="AC376" s="264">
        <f t="shared" si="674"/>
        <v>0</v>
      </c>
      <c r="AD376" s="83">
        <f t="shared" si="656"/>
        <v>2173420</v>
      </c>
      <c r="AE376" s="83">
        <f t="shared" si="656"/>
        <v>0</v>
      </c>
      <c r="AF376" s="264">
        <f t="shared" si="675"/>
        <v>2173420</v>
      </c>
      <c r="AG376" s="83">
        <v>2173420</v>
      </c>
      <c r="AH376" s="83">
        <v>0</v>
      </c>
      <c r="AI376" s="264">
        <f t="shared" si="676"/>
        <v>2173420</v>
      </c>
      <c r="AJ376" s="106">
        <v>0</v>
      </c>
      <c r="AK376" s="106">
        <v>0</v>
      </c>
      <c r="AL376" s="83"/>
      <c r="AM376" s="264">
        <f t="shared" si="657"/>
        <v>0</v>
      </c>
      <c r="AN376" s="83">
        <v>0</v>
      </c>
      <c r="AO376" s="83">
        <v>0</v>
      </c>
      <c r="AP376" s="264">
        <f t="shared" si="677"/>
        <v>0</v>
      </c>
      <c r="AQ376" s="69">
        <f t="shared" si="603"/>
        <v>0</v>
      </c>
      <c r="AR376" s="47"/>
    </row>
    <row r="377" spans="2:44" ht="47.45" customHeight="1">
      <c r="B377" s="98" t="s">
        <v>809</v>
      </c>
      <c r="C377" s="554" t="s">
        <v>819</v>
      </c>
      <c r="D377" s="99"/>
      <c r="E377" s="278" t="s">
        <v>372</v>
      </c>
      <c r="F377" s="278"/>
      <c r="G377" s="345">
        <v>2024</v>
      </c>
      <c r="H377" s="344">
        <v>2030</v>
      </c>
      <c r="I377" s="7">
        <f>10*5*9000</f>
        <v>450000</v>
      </c>
      <c r="J377" s="7">
        <v>0</v>
      </c>
      <c r="K377" s="264">
        <f t="shared" si="668"/>
        <v>450000</v>
      </c>
      <c r="L377" s="7">
        <v>450000</v>
      </c>
      <c r="M377" s="7">
        <v>0</v>
      </c>
      <c r="N377" s="264">
        <f t="shared" si="669"/>
        <v>450000</v>
      </c>
      <c r="O377" s="7">
        <v>450000</v>
      </c>
      <c r="P377" s="7">
        <v>0</v>
      </c>
      <c r="Q377" s="264">
        <f t="shared" si="670"/>
        <v>450000</v>
      </c>
      <c r="R377" s="7">
        <v>450000</v>
      </c>
      <c r="S377" s="7">
        <v>0</v>
      </c>
      <c r="T377" s="264">
        <f t="shared" si="671"/>
        <v>450000</v>
      </c>
      <c r="U377" s="7">
        <v>450000</v>
      </c>
      <c r="V377" s="7">
        <v>0</v>
      </c>
      <c r="W377" s="264">
        <f t="shared" si="672"/>
        <v>450000</v>
      </c>
      <c r="X377" s="7">
        <v>450000</v>
      </c>
      <c r="Y377" s="7">
        <v>0</v>
      </c>
      <c r="Z377" s="264">
        <f t="shared" si="673"/>
        <v>450000</v>
      </c>
      <c r="AA377" s="7">
        <v>450000</v>
      </c>
      <c r="AB377" s="7">
        <v>0</v>
      </c>
      <c r="AC377" s="264">
        <f t="shared" si="674"/>
        <v>450000</v>
      </c>
      <c r="AD377" s="83">
        <f t="shared" si="656"/>
        <v>3150000</v>
      </c>
      <c r="AE377" s="83">
        <f t="shared" si="656"/>
        <v>0</v>
      </c>
      <c r="AF377" s="264">
        <f t="shared" si="675"/>
        <v>3150000</v>
      </c>
      <c r="AG377" s="83">
        <f>450000*3</f>
        <v>1350000</v>
      </c>
      <c r="AH377" s="83">
        <v>0</v>
      </c>
      <c r="AI377" s="264">
        <f t="shared" si="676"/>
        <v>1350000</v>
      </c>
      <c r="AJ377" s="106">
        <v>0</v>
      </c>
      <c r="AK377" s="106">
        <v>0</v>
      </c>
      <c r="AL377" s="83"/>
      <c r="AM377" s="264">
        <f t="shared" si="657"/>
        <v>0</v>
      </c>
      <c r="AN377" s="83">
        <f>450000*4</f>
        <v>1800000</v>
      </c>
      <c r="AO377" s="83"/>
      <c r="AP377" s="264">
        <f t="shared" si="677"/>
        <v>1800000</v>
      </c>
      <c r="AQ377" s="69">
        <f t="shared" si="603"/>
        <v>0</v>
      </c>
      <c r="AR377" s="47"/>
    </row>
    <row r="378" spans="2:44" ht="44.45" customHeight="1">
      <c r="B378" s="98" t="s">
        <v>810</v>
      </c>
      <c r="C378" s="554" t="s">
        <v>820</v>
      </c>
      <c r="D378" s="99"/>
      <c r="E378" s="278" t="s">
        <v>827</v>
      </c>
      <c r="F378" s="278"/>
      <c r="G378" s="345">
        <v>2024</v>
      </c>
      <c r="H378" s="345">
        <v>2026</v>
      </c>
      <c r="I378" s="7">
        <v>0</v>
      </c>
      <c r="J378" s="7">
        <v>0</v>
      </c>
      <c r="K378" s="264">
        <f t="shared" si="668"/>
        <v>0</v>
      </c>
      <c r="L378" s="7">
        <v>0</v>
      </c>
      <c r="M378" s="7">
        <v>0</v>
      </c>
      <c r="N378" s="264">
        <f t="shared" si="669"/>
        <v>0</v>
      </c>
      <c r="O378" s="83">
        <v>0</v>
      </c>
      <c r="P378" s="83">
        <v>0</v>
      </c>
      <c r="Q378" s="264">
        <f t="shared" si="670"/>
        <v>0</v>
      </c>
      <c r="R378" s="83">
        <v>0</v>
      </c>
      <c r="S378" s="83">
        <v>0</v>
      </c>
      <c r="T378" s="264">
        <f t="shared" si="671"/>
        <v>0</v>
      </c>
      <c r="U378" s="83">
        <v>0</v>
      </c>
      <c r="V378" s="83">
        <v>0</v>
      </c>
      <c r="W378" s="264">
        <f t="shared" si="672"/>
        <v>0</v>
      </c>
      <c r="X378" s="83">
        <v>0</v>
      </c>
      <c r="Y378" s="83">
        <v>0</v>
      </c>
      <c r="Z378" s="264">
        <f t="shared" si="673"/>
        <v>0</v>
      </c>
      <c r="AA378" s="83">
        <v>0</v>
      </c>
      <c r="AB378" s="83">
        <v>0</v>
      </c>
      <c r="AC378" s="264">
        <f t="shared" si="674"/>
        <v>0</v>
      </c>
      <c r="AD378" s="83">
        <f t="shared" si="656"/>
        <v>0</v>
      </c>
      <c r="AE378" s="83">
        <f t="shared" si="656"/>
        <v>0</v>
      </c>
      <c r="AF378" s="264">
        <f t="shared" si="675"/>
        <v>0</v>
      </c>
      <c r="AG378" s="83">
        <v>0</v>
      </c>
      <c r="AH378" s="83">
        <v>0</v>
      </c>
      <c r="AI378" s="264">
        <f t="shared" si="676"/>
        <v>0</v>
      </c>
      <c r="AJ378" s="106">
        <v>0</v>
      </c>
      <c r="AK378" s="106">
        <v>0</v>
      </c>
      <c r="AL378" s="83"/>
      <c r="AM378" s="264">
        <f t="shared" si="657"/>
        <v>0</v>
      </c>
      <c r="AN378" s="83">
        <v>0</v>
      </c>
      <c r="AO378" s="83">
        <v>0</v>
      </c>
      <c r="AP378" s="264">
        <f t="shared" si="677"/>
        <v>0</v>
      </c>
      <c r="AQ378" s="69">
        <f t="shared" si="603"/>
        <v>0</v>
      </c>
      <c r="AR378" s="47"/>
    </row>
    <row r="379" spans="2:44" ht="62.25" customHeight="1">
      <c r="B379" s="98" t="s">
        <v>811</v>
      </c>
      <c r="C379" s="554" t="s">
        <v>821</v>
      </c>
      <c r="D379" s="99"/>
      <c r="E379" s="278" t="s">
        <v>828</v>
      </c>
      <c r="F379" s="278" t="s">
        <v>243</v>
      </c>
      <c r="G379" s="345">
        <v>2027</v>
      </c>
      <c r="H379" s="345">
        <v>2027</v>
      </c>
      <c r="I379" s="7">
        <v>0</v>
      </c>
      <c r="J379" s="7">
        <v>0</v>
      </c>
      <c r="K379" s="264">
        <f t="shared" si="668"/>
        <v>0</v>
      </c>
      <c r="L379" s="7">
        <v>0</v>
      </c>
      <c r="M379" s="7">
        <v>0</v>
      </c>
      <c r="N379" s="264">
        <f t="shared" si="669"/>
        <v>0</v>
      </c>
      <c r="O379" s="767">
        <v>0</v>
      </c>
      <c r="P379" s="767">
        <v>6000000</v>
      </c>
      <c r="Q379" s="264">
        <f t="shared" si="670"/>
        <v>6000000</v>
      </c>
      <c r="R379" s="83">
        <v>0</v>
      </c>
      <c r="S379" s="83">
        <v>0</v>
      </c>
      <c r="T379" s="264">
        <f t="shared" si="671"/>
        <v>0</v>
      </c>
      <c r="U379" s="83">
        <v>0</v>
      </c>
      <c r="V379" s="83">
        <v>0</v>
      </c>
      <c r="W379" s="264">
        <f t="shared" si="672"/>
        <v>0</v>
      </c>
      <c r="X379" s="83">
        <v>0</v>
      </c>
      <c r="Y379" s="83">
        <v>0</v>
      </c>
      <c r="Z379" s="264">
        <f t="shared" si="673"/>
        <v>0</v>
      </c>
      <c r="AA379" s="83">
        <v>0</v>
      </c>
      <c r="AB379" s="83">
        <v>0</v>
      </c>
      <c r="AC379" s="264">
        <f t="shared" si="674"/>
        <v>0</v>
      </c>
      <c r="AD379" s="83">
        <f t="shared" si="656"/>
        <v>0</v>
      </c>
      <c r="AE379" s="83">
        <f t="shared" si="656"/>
        <v>6000000</v>
      </c>
      <c r="AF379" s="264">
        <f t="shared" si="675"/>
        <v>6000000</v>
      </c>
      <c r="AG379" s="83">
        <v>0</v>
      </c>
      <c r="AH379" s="83">
        <v>0</v>
      </c>
      <c r="AI379" s="264">
        <f t="shared" si="676"/>
        <v>0</v>
      </c>
      <c r="AJ379" s="106">
        <v>0</v>
      </c>
      <c r="AK379" s="106">
        <v>0</v>
      </c>
      <c r="AL379" s="83"/>
      <c r="AM379" s="264">
        <f t="shared" si="657"/>
        <v>0</v>
      </c>
      <c r="AN379" s="83">
        <v>0</v>
      </c>
      <c r="AO379" s="83">
        <v>0</v>
      </c>
      <c r="AP379" s="264">
        <f t="shared" si="677"/>
        <v>0</v>
      </c>
      <c r="AQ379" s="69">
        <f t="shared" si="603"/>
        <v>-6000000</v>
      </c>
      <c r="AR379" s="47"/>
    </row>
    <row r="380" spans="2:44" ht="49.15" customHeight="1">
      <c r="B380" s="98" t="s">
        <v>812</v>
      </c>
      <c r="C380" s="500" t="s">
        <v>822</v>
      </c>
      <c r="D380" s="99"/>
      <c r="E380" s="278" t="s">
        <v>828</v>
      </c>
      <c r="F380" s="278"/>
      <c r="G380" s="345">
        <v>2024</v>
      </c>
      <c r="H380" s="345">
        <v>2024</v>
      </c>
      <c r="I380" s="7">
        <v>3260130</v>
      </c>
      <c r="J380" s="7">
        <v>0</v>
      </c>
      <c r="K380" s="264">
        <f t="shared" si="668"/>
        <v>3260130</v>
      </c>
      <c r="L380" s="7">
        <v>0</v>
      </c>
      <c r="M380" s="7">
        <v>0</v>
      </c>
      <c r="N380" s="264">
        <f t="shared" si="669"/>
        <v>0</v>
      </c>
      <c r="O380" s="7">
        <v>0</v>
      </c>
      <c r="P380" s="7">
        <v>0</v>
      </c>
      <c r="Q380" s="264">
        <f t="shared" si="670"/>
        <v>0</v>
      </c>
      <c r="R380" s="7">
        <v>0</v>
      </c>
      <c r="S380" s="7">
        <v>0</v>
      </c>
      <c r="T380" s="264">
        <f t="shared" si="671"/>
        <v>0</v>
      </c>
      <c r="U380" s="7">
        <v>0</v>
      </c>
      <c r="V380" s="7">
        <v>0</v>
      </c>
      <c r="W380" s="264">
        <f t="shared" si="672"/>
        <v>0</v>
      </c>
      <c r="X380" s="7">
        <v>0</v>
      </c>
      <c r="Y380" s="7">
        <v>0</v>
      </c>
      <c r="Z380" s="264">
        <f t="shared" si="673"/>
        <v>0</v>
      </c>
      <c r="AA380" s="7">
        <v>0</v>
      </c>
      <c r="AB380" s="7">
        <v>0</v>
      </c>
      <c r="AC380" s="264">
        <f t="shared" si="674"/>
        <v>0</v>
      </c>
      <c r="AD380" s="83">
        <f t="shared" si="656"/>
        <v>3260130</v>
      </c>
      <c r="AE380" s="83">
        <f t="shared" si="656"/>
        <v>0</v>
      </c>
      <c r="AF380" s="264">
        <f t="shared" si="675"/>
        <v>3260130</v>
      </c>
      <c r="AG380" s="83">
        <v>3260130</v>
      </c>
      <c r="AH380" s="83">
        <v>0</v>
      </c>
      <c r="AI380" s="264">
        <f t="shared" si="676"/>
        <v>3260130</v>
      </c>
      <c r="AJ380" s="106">
        <v>0</v>
      </c>
      <c r="AK380" s="106">
        <v>0</v>
      </c>
      <c r="AL380" s="83"/>
      <c r="AM380" s="264">
        <f t="shared" si="657"/>
        <v>0</v>
      </c>
      <c r="AN380" s="83">
        <v>0</v>
      </c>
      <c r="AO380" s="83">
        <v>0</v>
      </c>
      <c r="AP380" s="264">
        <f t="shared" si="677"/>
        <v>0</v>
      </c>
      <c r="AQ380" s="69">
        <f t="shared" si="603"/>
        <v>0</v>
      </c>
      <c r="AR380" s="47"/>
    </row>
    <row r="381" spans="2:44" ht="49.9" customHeight="1">
      <c r="B381" s="98" t="s">
        <v>813</v>
      </c>
      <c r="C381" s="500" t="s">
        <v>823</v>
      </c>
      <c r="D381" s="99"/>
      <c r="E381" s="278" t="s">
        <v>693</v>
      </c>
      <c r="F381" s="278"/>
      <c r="G381" s="345">
        <v>2024</v>
      </c>
      <c r="H381" s="345">
        <v>2024</v>
      </c>
      <c r="I381" s="7">
        <v>2173420</v>
      </c>
      <c r="J381" s="7">
        <v>0</v>
      </c>
      <c r="K381" s="264">
        <f t="shared" si="668"/>
        <v>2173420</v>
      </c>
      <c r="L381" s="7">
        <v>0</v>
      </c>
      <c r="M381" s="7">
        <v>0</v>
      </c>
      <c r="N381" s="264">
        <f t="shared" si="669"/>
        <v>0</v>
      </c>
      <c r="O381" s="7">
        <v>0</v>
      </c>
      <c r="P381" s="7">
        <v>0</v>
      </c>
      <c r="Q381" s="264">
        <f t="shared" si="670"/>
        <v>0</v>
      </c>
      <c r="R381" s="7">
        <v>0</v>
      </c>
      <c r="S381" s="7">
        <v>0</v>
      </c>
      <c r="T381" s="264">
        <f t="shared" si="671"/>
        <v>0</v>
      </c>
      <c r="U381" s="7">
        <v>0</v>
      </c>
      <c r="V381" s="7">
        <v>0</v>
      </c>
      <c r="W381" s="264">
        <f t="shared" si="672"/>
        <v>0</v>
      </c>
      <c r="X381" s="7">
        <v>0</v>
      </c>
      <c r="Y381" s="7">
        <v>0</v>
      </c>
      <c r="Z381" s="264">
        <f t="shared" si="673"/>
        <v>0</v>
      </c>
      <c r="AA381" s="7">
        <v>0</v>
      </c>
      <c r="AB381" s="7">
        <v>0</v>
      </c>
      <c r="AC381" s="264">
        <f t="shared" si="674"/>
        <v>0</v>
      </c>
      <c r="AD381" s="83">
        <f t="shared" si="656"/>
        <v>2173420</v>
      </c>
      <c r="AE381" s="83">
        <f t="shared" si="656"/>
        <v>0</v>
      </c>
      <c r="AF381" s="264">
        <f t="shared" si="675"/>
        <v>2173420</v>
      </c>
      <c r="AG381" s="83">
        <v>2173420</v>
      </c>
      <c r="AH381" s="83">
        <v>0</v>
      </c>
      <c r="AI381" s="264">
        <f t="shared" si="676"/>
        <v>2173420</v>
      </c>
      <c r="AJ381" s="106">
        <v>0</v>
      </c>
      <c r="AK381" s="106">
        <v>0</v>
      </c>
      <c r="AL381" s="83"/>
      <c r="AM381" s="264">
        <f t="shared" si="657"/>
        <v>0</v>
      </c>
      <c r="AN381" s="83">
        <v>0</v>
      </c>
      <c r="AO381" s="83">
        <v>0</v>
      </c>
      <c r="AP381" s="264">
        <f t="shared" si="677"/>
        <v>0</v>
      </c>
      <c r="AQ381" s="69">
        <f t="shared" si="603"/>
        <v>0</v>
      </c>
      <c r="AR381" s="47"/>
    </row>
    <row r="382" spans="2:44" ht="62.25" customHeight="1">
      <c r="B382" s="98" t="s">
        <v>814</v>
      </c>
      <c r="C382" s="500" t="s">
        <v>824</v>
      </c>
      <c r="D382" s="99"/>
      <c r="E382" s="278" t="s">
        <v>829</v>
      </c>
      <c r="F382" s="278"/>
      <c r="G382" s="345">
        <v>2025</v>
      </c>
      <c r="H382" s="345">
        <v>2025</v>
      </c>
      <c r="I382" s="7">
        <v>0</v>
      </c>
      <c r="J382" s="7">
        <v>0</v>
      </c>
      <c r="K382" s="264">
        <f t="shared" si="668"/>
        <v>0</v>
      </c>
      <c r="L382" s="7">
        <v>2173420</v>
      </c>
      <c r="M382" s="7">
        <v>0</v>
      </c>
      <c r="N382" s="264">
        <f t="shared" si="669"/>
        <v>2173420</v>
      </c>
      <c r="O382" s="7">
        <v>0</v>
      </c>
      <c r="P382" s="7">
        <v>0</v>
      </c>
      <c r="Q382" s="264">
        <f t="shared" si="670"/>
        <v>0</v>
      </c>
      <c r="R382" s="7">
        <v>0</v>
      </c>
      <c r="S382" s="7">
        <v>0</v>
      </c>
      <c r="T382" s="264">
        <f t="shared" si="671"/>
        <v>0</v>
      </c>
      <c r="U382" s="7">
        <v>0</v>
      </c>
      <c r="V382" s="7">
        <v>0</v>
      </c>
      <c r="W382" s="264">
        <f t="shared" si="672"/>
        <v>0</v>
      </c>
      <c r="X382" s="7">
        <v>0</v>
      </c>
      <c r="Y382" s="7">
        <v>0</v>
      </c>
      <c r="Z382" s="264">
        <f t="shared" si="673"/>
        <v>0</v>
      </c>
      <c r="AA382" s="7">
        <v>0</v>
      </c>
      <c r="AB382" s="7">
        <v>0</v>
      </c>
      <c r="AC382" s="264">
        <f t="shared" si="674"/>
        <v>0</v>
      </c>
      <c r="AD382" s="83">
        <f t="shared" si="656"/>
        <v>2173420</v>
      </c>
      <c r="AE382" s="83">
        <f t="shared" si="656"/>
        <v>0</v>
      </c>
      <c r="AF382" s="264">
        <f t="shared" si="675"/>
        <v>2173420</v>
      </c>
      <c r="AG382" s="83">
        <v>2173420</v>
      </c>
      <c r="AH382" s="83">
        <v>0</v>
      </c>
      <c r="AI382" s="264">
        <f t="shared" si="676"/>
        <v>2173420</v>
      </c>
      <c r="AJ382" s="106">
        <v>0</v>
      </c>
      <c r="AK382" s="106">
        <v>0</v>
      </c>
      <c r="AL382" s="83"/>
      <c r="AM382" s="264">
        <f t="shared" si="657"/>
        <v>0</v>
      </c>
      <c r="AN382" s="83">
        <v>0</v>
      </c>
      <c r="AO382" s="83">
        <v>0</v>
      </c>
      <c r="AP382" s="264">
        <f t="shared" si="677"/>
        <v>0</v>
      </c>
      <c r="AQ382" s="69">
        <f t="shared" si="603"/>
        <v>0</v>
      </c>
      <c r="AR382" s="47"/>
    </row>
    <row r="383" spans="2:44" ht="49.15" customHeight="1">
      <c r="B383" s="98" t="s">
        <v>815</v>
      </c>
      <c r="C383" s="550" t="s">
        <v>825</v>
      </c>
      <c r="D383" s="99"/>
      <c r="E383" s="278" t="s">
        <v>693</v>
      </c>
      <c r="F383" s="278"/>
      <c r="G383" s="345">
        <v>2024</v>
      </c>
      <c r="H383" s="344">
        <v>2030</v>
      </c>
      <c r="I383" s="7">
        <v>3260130</v>
      </c>
      <c r="J383" s="7">
        <v>0</v>
      </c>
      <c r="K383" s="264">
        <f t="shared" si="668"/>
        <v>3260130</v>
      </c>
      <c r="L383" s="7">
        <v>3260130</v>
      </c>
      <c r="M383" s="7">
        <v>0</v>
      </c>
      <c r="N383" s="264">
        <f t="shared" si="669"/>
        <v>3260130</v>
      </c>
      <c r="O383" s="7">
        <v>3260130</v>
      </c>
      <c r="P383" s="7">
        <v>0</v>
      </c>
      <c r="Q383" s="264">
        <f t="shared" si="670"/>
        <v>3260130</v>
      </c>
      <c r="R383" s="7">
        <v>3260130</v>
      </c>
      <c r="S383" s="7">
        <v>0</v>
      </c>
      <c r="T383" s="264">
        <f t="shared" si="671"/>
        <v>3260130</v>
      </c>
      <c r="U383" s="7">
        <v>3260130</v>
      </c>
      <c r="V383" s="7">
        <v>0</v>
      </c>
      <c r="W383" s="264">
        <f t="shared" si="672"/>
        <v>3260130</v>
      </c>
      <c r="X383" s="7">
        <v>3260130</v>
      </c>
      <c r="Y383" s="7">
        <v>0</v>
      </c>
      <c r="Z383" s="264">
        <f t="shared" si="673"/>
        <v>3260130</v>
      </c>
      <c r="AA383" s="7">
        <v>3260130</v>
      </c>
      <c r="AB383" s="7">
        <v>0</v>
      </c>
      <c r="AC383" s="264">
        <f t="shared" si="674"/>
        <v>3260130</v>
      </c>
      <c r="AD383" s="83">
        <f t="shared" si="656"/>
        <v>22820910</v>
      </c>
      <c r="AE383" s="83">
        <f t="shared" si="656"/>
        <v>0</v>
      </c>
      <c r="AF383" s="264">
        <f t="shared" si="675"/>
        <v>22820910</v>
      </c>
      <c r="AG383" s="83">
        <f>3260130*3</f>
        <v>9780390</v>
      </c>
      <c r="AH383" s="83">
        <v>0</v>
      </c>
      <c r="AI383" s="264">
        <f t="shared" si="676"/>
        <v>9780390</v>
      </c>
      <c r="AJ383" s="106">
        <v>0</v>
      </c>
      <c r="AK383" s="106">
        <v>0</v>
      </c>
      <c r="AL383" s="83"/>
      <c r="AM383" s="264">
        <f t="shared" si="657"/>
        <v>0</v>
      </c>
      <c r="AN383" s="83">
        <f>3260130*4</f>
        <v>13040520</v>
      </c>
      <c r="AO383" s="83">
        <v>0</v>
      </c>
      <c r="AP383" s="264">
        <f t="shared" si="677"/>
        <v>13040520</v>
      </c>
      <c r="AQ383" s="69">
        <f t="shared" si="603"/>
        <v>0</v>
      </c>
      <c r="AR383" s="47"/>
    </row>
    <row r="384" spans="2:44" ht="46.15" customHeight="1" thickBot="1">
      <c r="B384" s="98" t="s">
        <v>816</v>
      </c>
      <c r="C384" s="551" t="s">
        <v>826</v>
      </c>
      <c r="D384" s="99"/>
      <c r="E384" s="278" t="s">
        <v>693</v>
      </c>
      <c r="F384" s="278"/>
      <c r="G384" s="345">
        <v>2024</v>
      </c>
      <c r="H384" s="345">
        <v>2030</v>
      </c>
      <c r="I384" s="7">
        <v>2173420</v>
      </c>
      <c r="J384" s="7">
        <v>0</v>
      </c>
      <c r="K384" s="264">
        <f t="shared" si="668"/>
        <v>2173420</v>
      </c>
      <c r="L384" s="7">
        <v>2173420</v>
      </c>
      <c r="M384" s="7">
        <v>0</v>
      </c>
      <c r="N384" s="264">
        <f t="shared" si="669"/>
        <v>2173420</v>
      </c>
      <c r="O384" s="7">
        <v>2173420</v>
      </c>
      <c r="P384" s="7">
        <v>0</v>
      </c>
      <c r="Q384" s="264">
        <f t="shared" si="670"/>
        <v>2173420</v>
      </c>
      <c r="R384" s="7">
        <v>2173420</v>
      </c>
      <c r="S384" s="7">
        <v>0</v>
      </c>
      <c r="T384" s="264">
        <f t="shared" si="671"/>
        <v>2173420</v>
      </c>
      <c r="U384" s="7">
        <v>2173420</v>
      </c>
      <c r="V384" s="7">
        <v>0</v>
      </c>
      <c r="W384" s="264">
        <f t="shared" si="672"/>
        <v>2173420</v>
      </c>
      <c r="X384" s="7">
        <v>2173420</v>
      </c>
      <c r="Y384" s="7">
        <v>0</v>
      </c>
      <c r="Z384" s="264">
        <f t="shared" si="673"/>
        <v>2173420</v>
      </c>
      <c r="AA384" s="7">
        <v>2173420</v>
      </c>
      <c r="AB384" s="7">
        <v>0</v>
      </c>
      <c r="AC384" s="264">
        <f t="shared" si="674"/>
        <v>2173420</v>
      </c>
      <c r="AD384" s="83">
        <f t="shared" si="656"/>
        <v>15213940</v>
      </c>
      <c r="AE384" s="83">
        <f t="shared" si="656"/>
        <v>0</v>
      </c>
      <c r="AF384" s="264">
        <f t="shared" si="675"/>
        <v>15213940</v>
      </c>
      <c r="AG384" s="83">
        <f>2173420*3</f>
        <v>6520260</v>
      </c>
      <c r="AH384" s="83">
        <v>0</v>
      </c>
      <c r="AI384" s="264">
        <f t="shared" si="676"/>
        <v>6520260</v>
      </c>
      <c r="AJ384" s="106">
        <v>0</v>
      </c>
      <c r="AK384" s="106">
        <v>0</v>
      </c>
      <c r="AL384" s="83"/>
      <c r="AM384" s="264">
        <f t="shared" si="657"/>
        <v>0</v>
      </c>
      <c r="AN384" s="83">
        <f>2173420*4</f>
        <v>8693680</v>
      </c>
      <c r="AO384" s="83">
        <v>0</v>
      </c>
      <c r="AP384" s="264">
        <f t="shared" si="677"/>
        <v>8693680</v>
      </c>
      <c r="AQ384" s="69">
        <f t="shared" si="603"/>
        <v>0</v>
      </c>
      <c r="AR384" s="47"/>
    </row>
    <row r="385" spans="2:44" ht="77.25" customHeight="1" thickBot="1">
      <c r="B385" s="208" t="s">
        <v>15</v>
      </c>
      <c r="C385" s="555" t="s">
        <v>835</v>
      </c>
      <c r="D385" s="209"/>
      <c r="E385" s="192" t="s">
        <v>372</v>
      </c>
      <c r="F385" s="186"/>
      <c r="G385" s="620" t="s">
        <v>194</v>
      </c>
      <c r="H385" s="620" t="s">
        <v>194</v>
      </c>
      <c r="I385" s="189">
        <f>SUM(I386:I393)</f>
        <v>0</v>
      </c>
      <c r="J385" s="189">
        <f>SUM(J386:J393)</f>
        <v>0</v>
      </c>
      <c r="K385" s="197">
        <f>I385+J385</f>
        <v>0</v>
      </c>
      <c r="L385" s="189">
        <f>SUM(L386:L393)</f>
        <v>13953810</v>
      </c>
      <c r="M385" s="189">
        <f>SUM(M386:M393)</f>
        <v>0</v>
      </c>
      <c r="N385" s="197">
        <f>L385+M385</f>
        <v>13953810</v>
      </c>
      <c r="O385" s="189">
        <f>SUM(O386:O393)</f>
        <v>23734200</v>
      </c>
      <c r="P385" s="189">
        <f>SUM(P386:P393)</f>
        <v>0</v>
      </c>
      <c r="Q385" s="197">
        <f>O385+P385</f>
        <v>23734200</v>
      </c>
      <c r="R385" s="189">
        <f>SUM(R386:R393)</f>
        <v>13953810</v>
      </c>
      <c r="S385" s="189">
        <f>SUM(S386:S393)</f>
        <v>0</v>
      </c>
      <c r="T385" s="197">
        <f>R385+S385</f>
        <v>13953810</v>
      </c>
      <c r="U385" s="189">
        <f>SUM(U386:U393)</f>
        <v>10693680</v>
      </c>
      <c r="V385" s="189">
        <f>SUM(V386:V393)</f>
        <v>0</v>
      </c>
      <c r="W385" s="197">
        <f>U385+V385</f>
        <v>10693680</v>
      </c>
      <c r="X385" s="197">
        <f>SUM(X386:X393)</f>
        <v>13953810</v>
      </c>
      <c r="Y385" s="197">
        <f>SUM(Y386:Y393)</f>
        <v>0</v>
      </c>
      <c r="Z385" s="197">
        <f>SUM(X385:Y385)</f>
        <v>13953810</v>
      </c>
      <c r="AA385" s="197">
        <f>SUM(AA386:AA393)</f>
        <v>10693680</v>
      </c>
      <c r="AB385" s="197">
        <f>SUM(AB386:AB393)</f>
        <v>0</v>
      </c>
      <c r="AC385" s="197">
        <f>SUM(AA385:AB385)</f>
        <v>10693680</v>
      </c>
      <c r="AD385" s="197">
        <f t="shared" si="656"/>
        <v>86982990</v>
      </c>
      <c r="AE385" s="197">
        <f t="shared" si="656"/>
        <v>0</v>
      </c>
      <c r="AF385" s="197">
        <f t="shared" ref="AF385:AF398" si="678">AD385+AE385</f>
        <v>86982990</v>
      </c>
      <c r="AG385" s="189">
        <f>SUM(AG386:AG393)</f>
        <v>36948140</v>
      </c>
      <c r="AH385" s="189">
        <f>SUM(AH386:AH393)</f>
        <v>0</v>
      </c>
      <c r="AI385" s="197">
        <f>AG385+AH385</f>
        <v>36948140</v>
      </c>
      <c r="AJ385" s="189">
        <f>SUM(AJ386:AJ393)</f>
        <v>0</v>
      </c>
      <c r="AK385" s="189">
        <f>SUM(AK386:AK393)</f>
        <v>0</v>
      </c>
      <c r="AL385" s="197"/>
      <c r="AM385" s="197">
        <f t="shared" si="657"/>
        <v>0</v>
      </c>
      <c r="AN385" s="189">
        <f>SUM(AN386:AN393)</f>
        <v>38034850</v>
      </c>
      <c r="AO385" s="189">
        <f>SUM(AO386:AO393)</f>
        <v>0</v>
      </c>
      <c r="AP385" s="197">
        <f>AN385+AO385</f>
        <v>38034850</v>
      </c>
      <c r="AQ385" s="193">
        <f t="shared" si="603"/>
        <v>-12000000</v>
      </c>
      <c r="AR385" s="47"/>
    </row>
    <row r="386" spans="2:44" ht="50.45" customHeight="1">
      <c r="B386" s="52" t="s">
        <v>152</v>
      </c>
      <c r="C386" s="556" t="s">
        <v>836</v>
      </c>
      <c r="D386" s="99"/>
      <c r="E386" s="562" t="s">
        <v>372</v>
      </c>
      <c r="F386" s="39"/>
      <c r="G386" s="553">
        <v>2025</v>
      </c>
      <c r="H386" s="553">
        <v>2025</v>
      </c>
      <c r="I386" s="7">
        <v>0</v>
      </c>
      <c r="J386" s="7">
        <v>0</v>
      </c>
      <c r="K386" s="264">
        <f>SUM(I386:J386)</f>
        <v>0</v>
      </c>
      <c r="L386" s="7">
        <v>3260130</v>
      </c>
      <c r="M386" s="7">
        <v>0</v>
      </c>
      <c r="N386" s="264">
        <f>SUM(L386:M386)</f>
        <v>3260130</v>
      </c>
      <c r="O386" s="83">
        <v>0</v>
      </c>
      <c r="P386" s="83">
        <v>0</v>
      </c>
      <c r="Q386" s="264">
        <f>SUM(O386:P386)</f>
        <v>0</v>
      </c>
      <c r="R386" s="83">
        <v>0</v>
      </c>
      <c r="S386" s="83">
        <v>0</v>
      </c>
      <c r="T386" s="264">
        <f>SUM(R386:S386)</f>
        <v>0</v>
      </c>
      <c r="U386" s="83">
        <v>0</v>
      </c>
      <c r="V386" s="83">
        <v>0</v>
      </c>
      <c r="W386" s="264">
        <f>SUM(U386:V386)</f>
        <v>0</v>
      </c>
      <c r="X386" s="83">
        <v>0</v>
      </c>
      <c r="Y386" s="83">
        <v>0</v>
      </c>
      <c r="Z386" s="264">
        <f t="shared" ref="Z386:Z398" si="679">SUM(X386:Y386)</f>
        <v>0</v>
      </c>
      <c r="AA386" s="83">
        <v>0</v>
      </c>
      <c r="AB386" s="83">
        <v>0</v>
      </c>
      <c r="AC386" s="264">
        <f t="shared" ref="AC386:AC398" si="680">SUM(AA386:AB386)</f>
        <v>0</v>
      </c>
      <c r="AD386" s="83">
        <f t="shared" si="656"/>
        <v>3260130</v>
      </c>
      <c r="AE386" s="83">
        <f t="shared" si="656"/>
        <v>0</v>
      </c>
      <c r="AF386" s="264">
        <f t="shared" si="678"/>
        <v>3260130</v>
      </c>
      <c r="AG386" s="83">
        <v>3260130</v>
      </c>
      <c r="AH386" s="83">
        <v>0</v>
      </c>
      <c r="AI386" s="264">
        <f>SUM(AG386:AH386)</f>
        <v>3260130</v>
      </c>
      <c r="AJ386" s="106">
        <v>0</v>
      </c>
      <c r="AK386" s="106">
        <v>0</v>
      </c>
      <c r="AL386" s="83"/>
      <c r="AM386" s="264">
        <f t="shared" si="657"/>
        <v>0</v>
      </c>
      <c r="AN386" s="83">
        <v>0</v>
      </c>
      <c r="AO386" s="83">
        <v>0</v>
      </c>
      <c r="AP386" s="264">
        <f>SUM(AN386:AO386)</f>
        <v>0</v>
      </c>
      <c r="AQ386" s="170">
        <f t="shared" si="603"/>
        <v>0</v>
      </c>
      <c r="AR386" s="47"/>
    </row>
    <row r="387" spans="2:44" ht="35.450000000000003" customHeight="1">
      <c r="B387" s="52" t="s">
        <v>153</v>
      </c>
      <c r="C387" s="557" t="s">
        <v>837</v>
      </c>
      <c r="D387" s="99"/>
      <c r="E387" s="39" t="s">
        <v>828</v>
      </c>
      <c r="F387" s="39"/>
      <c r="G387" s="553">
        <v>2025</v>
      </c>
      <c r="H387" s="553">
        <v>2030</v>
      </c>
      <c r="I387" s="7">
        <v>0</v>
      </c>
      <c r="J387" s="7">
        <v>0</v>
      </c>
      <c r="K387" s="264">
        <f t="shared" ref="K387:K391" si="681">SUM(I387:J387)</f>
        <v>0</v>
      </c>
      <c r="L387" s="7">
        <v>3260130</v>
      </c>
      <c r="M387" s="7">
        <v>0</v>
      </c>
      <c r="N387" s="264">
        <f t="shared" ref="N387:N391" si="682">SUM(L387:M387)</f>
        <v>3260130</v>
      </c>
      <c r="O387" s="7">
        <v>3260130</v>
      </c>
      <c r="P387" s="7">
        <v>0</v>
      </c>
      <c r="Q387" s="264">
        <f t="shared" ref="Q387:Q391" si="683">SUM(O387:P387)</f>
        <v>3260130</v>
      </c>
      <c r="R387" s="7">
        <v>3260130</v>
      </c>
      <c r="S387" s="7">
        <v>0</v>
      </c>
      <c r="T387" s="264">
        <f t="shared" ref="T387:T391" si="684">SUM(R387:S387)</f>
        <v>3260130</v>
      </c>
      <c r="U387" s="7">
        <v>3260130</v>
      </c>
      <c r="V387" s="7">
        <v>0</v>
      </c>
      <c r="W387" s="264">
        <f t="shared" ref="W387:W391" si="685">SUM(U387:V387)</f>
        <v>3260130</v>
      </c>
      <c r="X387" s="7">
        <v>3260130</v>
      </c>
      <c r="Y387" s="7">
        <v>0</v>
      </c>
      <c r="Z387" s="264">
        <f t="shared" si="679"/>
        <v>3260130</v>
      </c>
      <c r="AA387" s="7">
        <v>3260130</v>
      </c>
      <c r="AB387" s="7">
        <v>0</v>
      </c>
      <c r="AC387" s="264">
        <f t="shared" si="680"/>
        <v>3260130</v>
      </c>
      <c r="AD387" s="83">
        <f t="shared" si="656"/>
        <v>19560780</v>
      </c>
      <c r="AE387" s="83">
        <f t="shared" si="656"/>
        <v>0</v>
      </c>
      <c r="AF387" s="264">
        <f t="shared" si="678"/>
        <v>19560780</v>
      </c>
      <c r="AG387" s="83">
        <f>3260130*2</f>
        <v>6520260</v>
      </c>
      <c r="AH387" s="83">
        <v>0</v>
      </c>
      <c r="AI387" s="264">
        <f t="shared" ref="AI387:AI391" si="686">SUM(AG387:AH387)</f>
        <v>6520260</v>
      </c>
      <c r="AJ387" s="106">
        <v>0</v>
      </c>
      <c r="AK387" s="106">
        <v>0</v>
      </c>
      <c r="AL387" s="83"/>
      <c r="AM387" s="264">
        <f t="shared" si="657"/>
        <v>0</v>
      </c>
      <c r="AN387" s="83">
        <f>3260130*4</f>
        <v>13040520</v>
      </c>
      <c r="AO387" s="83">
        <v>0</v>
      </c>
      <c r="AP387" s="264">
        <f t="shared" ref="AP387:AP391" si="687">SUM(AN387:AO387)</f>
        <v>13040520</v>
      </c>
      <c r="AQ387" s="170">
        <f t="shared" si="603"/>
        <v>0</v>
      </c>
      <c r="AR387" s="47"/>
    </row>
    <row r="388" spans="2:44" ht="55.15" customHeight="1">
      <c r="B388" s="52" t="s">
        <v>154</v>
      </c>
      <c r="C388" s="557" t="s">
        <v>838</v>
      </c>
      <c r="D388" s="99"/>
      <c r="E388" s="39" t="s">
        <v>828</v>
      </c>
      <c r="F388" s="388"/>
      <c r="G388" s="564">
        <v>2026</v>
      </c>
      <c r="H388" s="564">
        <v>2026</v>
      </c>
      <c r="I388" s="7">
        <v>0</v>
      </c>
      <c r="J388" s="7">
        <v>0</v>
      </c>
      <c r="K388" s="264">
        <f t="shared" si="681"/>
        <v>0</v>
      </c>
      <c r="L388" s="7">
        <v>0</v>
      </c>
      <c r="M388" s="7">
        <v>0</v>
      </c>
      <c r="N388" s="264">
        <f t="shared" si="682"/>
        <v>0</v>
      </c>
      <c r="O388" s="83">
        <f>2*3260130</f>
        <v>6520260</v>
      </c>
      <c r="P388" s="83">
        <v>0</v>
      </c>
      <c r="Q388" s="264">
        <f t="shared" si="683"/>
        <v>6520260</v>
      </c>
      <c r="R388" s="83">
        <v>0</v>
      </c>
      <c r="S388" s="83">
        <v>0</v>
      </c>
      <c r="T388" s="264">
        <f t="shared" si="684"/>
        <v>0</v>
      </c>
      <c r="U388" s="83">
        <v>0</v>
      </c>
      <c r="V388" s="83">
        <v>0</v>
      </c>
      <c r="W388" s="264">
        <f t="shared" si="685"/>
        <v>0</v>
      </c>
      <c r="X388" s="83">
        <v>0</v>
      </c>
      <c r="Y388" s="83">
        <v>0</v>
      </c>
      <c r="Z388" s="264">
        <f t="shared" si="679"/>
        <v>0</v>
      </c>
      <c r="AA388" s="83">
        <v>0</v>
      </c>
      <c r="AB388" s="83">
        <v>0</v>
      </c>
      <c r="AC388" s="264">
        <f t="shared" si="680"/>
        <v>0</v>
      </c>
      <c r="AD388" s="83">
        <f t="shared" si="656"/>
        <v>6520260</v>
      </c>
      <c r="AE388" s="83">
        <f t="shared" si="656"/>
        <v>0</v>
      </c>
      <c r="AF388" s="264">
        <f t="shared" si="678"/>
        <v>6520260</v>
      </c>
      <c r="AG388" s="83">
        <v>6520260</v>
      </c>
      <c r="AH388" s="83">
        <v>0</v>
      </c>
      <c r="AI388" s="264">
        <f t="shared" si="686"/>
        <v>6520260</v>
      </c>
      <c r="AJ388" s="106">
        <v>0</v>
      </c>
      <c r="AK388" s="106">
        <v>0</v>
      </c>
      <c r="AL388" s="83"/>
      <c r="AM388" s="264">
        <f t="shared" si="657"/>
        <v>0</v>
      </c>
      <c r="AN388" s="83">
        <v>0</v>
      </c>
      <c r="AO388" s="83">
        <v>0</v>
      </c>
      <c r="AP388" s="264">
        <f t="shared" si="687"/>
        <v>0</v>
      </c>
      <c r="AQ388" s="170">
        <f t="shared" si="603"/>
        <v>0</v>
      </c>
      <c r="AR388" s="47"/>
    </row>
    <row r="389" spans="2:44" ht="55.15" customHeight="1">
      <c r="B389" s="52" t="s">
        <v>155</v>
      </c>
      <c r="C389" s="557" t="s">
        <v>839</v>
      </c>
      <c r="D389" s="99"/>
      <c r="E389" s="39" t="s">
        <v>828</v>
      </c>
      <c r="F389" s="388" t="s">
        <v>243</v>
      </c>
      <c r="G389" s="564">
        <v>2026</v>
      </c>
      <c r="H389" s="564">
        <v>2026</v>
      </c>
      <c r="I389" s="7">
        <v>0</v>
      </c>
      <c r="J389" s="7">
        <v>0</v>
      </c>
      <c r="K389" s="264">
        <f t="shared" si="681"/>
        <v>0</v>
      </c>
      <c r="L389" s="7">
        <v>0</v>
      </c>
      <c r="M389" s="7">
        <v>0</v>
      </c>
      <c r="N389" s="264">
        <f t="shared" si="682"/>
        <v>0</v>
      </c>
      <c r="O389" s="83">
        <f>2*3260130</f>
        <v>6520260</v>
      </c>
      <c r="P389" s="83">
        <v>0</v>
      </c>
      <c r="Q389" s="264">
        <f t="shared" si="683"/>
        <v>6520260</v>
      </c>
      <c r="R389" s="83">
        <v>0</v>
      </c>
      <c r="S389" s="83">
        <v>0</v>
      </c>
      <c r="T389" s="264">
        <f t="shared" si="684"/>
        <v>0</v>
      </c>
      <c r="U389" s="83">
        <v>0</v>
      </c>
      <c r="V389" s="83">
        <v>0</v>
      </c>
      <c r="W389" s="264">
        <f t="shared" si="685"/>
        <v>0</v>
      </c>
      <c r="X389" s="83">
        <v>0</v>
      </c>
      <c r="Y389" s="83">
        <v>0</v>
      </c>
      <c r="Z389" s="264">
        <f t="shared" si="679"/>
        <v>0</v>
      </c>
      <c r="AA389" s="83">
        <v>0</v>
      </c>
      <c r="AB389" s="83">
        <v>0</v>
      </c>
      <c r="AC389" s="264">
        <f t="shared" si="680"/>
        <v>0</v>
      </c>
      <c r="AD389" s="83">
        <f>I389+L389+O389+R389+U389+X389+AA389</f>
        <v>6520260</v>
      </c>
      <c r="AE389" s="83">
        <f t="shared" si="656"/>
        <v>0</v>
      </c>
      <c r="AF389" s="264">
        <f t="shared" si="678"/>
        <v>6520260</v>
      </c>
      <c r="AG389" s="83">
        <v>6520260</v>
      </c>
      <c r="AH389" s="83">
        <v>0</v>
      </c>
      <c r="AI389" s="264">
        <f t="shared" si="686"/>
        <v>6520260</v>
      </c>
      <c r="AJ389" s="106">
        <v>0</v>
      </c>
      <c r="AK389" s="106">
        <v>0</v>
      </c>
      <c r="AL389" s="83"/>
      <c r="AM389" s="264">
        <f t="shared" si="657"/>
        <v>0</v>
      </c>
      <c r="AN389" s="83">
        <v>0</v>
      </c>
      <c r="AO389" s="83">
        <v>0</v>
      </c>
      <c r="AP389" s="264">
        <f t="shared" si="687"/>
        <v>0</v>
      </c>
      <c r="AQ389" s="170">
        <f t="shared" si="603"/>
        <v>0</v>
      </c>
      <c r="AR389" s="47"/>
    </row>
    <row r="390" spans="2:44" ht="58.15" customHeight="1">
      <c r="B390" s="52" t="s">
        <v>156</v>
      </c>
      <c r="C390" s="558" t="s">
        <v>840</v>
      </c>
      <c r="D390" s="99"/>
      <c r="E390" s="39" t="s">
        <v>372</v>
      </c>
      <c r="F390" s="388"/>
      <c r="G390" s="564" t="s">
        <v>843</v>
      </c>
      <c r="H390" s="564" t="s">
        <v>843</v>
      </c>
      <c r="I390" s="7">
        <v>0</v>
      </c>
      <c r="J390" s="7">
        <v>0</v>
      </c>
      <c r="K390" s="264">
        <f>SUM(I390:J390)</f>
        <v>0</v>
      </c>
      <c r="L390" s="7">
        <v>0</v>
      </c>
      <c r="M390" s="7">
        <v>0</v>
      </c>
      <c r="N390" s="264">
        <f t="shared" si="682"/>
        <v>0</v>
      </c>
      <c r="O390" s="83">
        <v>0</v>
      </c>
      <c r="P390" s="83">
        <v>0</v>
      </c>
      <c r="Q390" s="264">
        <f t="shared" si="683"/>
        <v>0</v>
      </c>
      <c r="R390" s="83">
        <v>3260130</v>
      </c>
      <c r="S390" s="83">
        <v>0</v>
      </c>
      <c r="T390" s="264">
        <f t="shared" si="684"/>
        <v>3260130</v>
      </c>
      <c r="U390" s="83">
        <v>0</v>
      </c>
      <c r="V390" s="83">
        <v>0</v>
      </c>
      <c r="W390" s="264">
        <f t="shared" si="685"/>
        <v>0</v>
      </c>
      <c r="X390" s="83">
        <v>3260130</v>
      </c>
      <c r="Y390" s="83">
        <v>0</v>
      </c>
      <c r="Z390" s="264">
        <f t="shared" si="679"/>
        <v>3260130</v>
      </c>
      <c r="AA390" s="83">
        <v>0</v>
      </c>
      <c r="AB390" s="83">
        <v>0</v>
      </c>
      <c r="AC390" s="264">
        <f t="shared" si="680"/>
        <v>0</v>
      </c>
      <c r="AD390" s="83">
        <f t="shared" ref="AD390:AD392" si="688">I390+L390+O390+R390+U390+X390+AA390</f>
        <v>6520260</v>
      </c>
      <c r="AE390" s="83">
        <f>J390+M390+P390+S390+V390+Y390+AB390</f>
        <v>0</v>
      </c>
      <c r="AF390" s="264">
        <f t="shared" si="678"/>
        <v>6520260</v>
      </c>
      <c r="AG390" s="83">
        <v>3260130</v>
      </c>
      <c r="AH390" s="83">
        <v>0</v>
      </c>
      <c r="AI390" s="264">
        <f t="shared" si="686"/>
        <v>3260130</v>
      </c>
      <c r="AJ390" s="106">
        <v>0</v>
      </c>
      <c r="AK390" s="106">
        <v>0</v>
      </c>
      <c r="AL390" s="83"/>
      <c r="AM390" s="264">
        <f t="shared" si="657"/>
        <v>0</v>
      </c>
      <c r="AN390" s="83">
        <v>3260130</v>
      </c>
      <c r="AO390" s="83">
        <v>0</v>
      </c>
      <c r="AP390" s="264">
        <f t="shared" si="687"/>
        <v>3260130</v>
      </c>
      <c r="AQ390" s="170">
        <f t="shared" si="603"/>
        <v>0</v>
      </c>
      <c r="AR390" s="47"/>
    </row>
    <row r="391" spans="2:44" ht="60" customHeight="1">
      <c r="B391" s="52" t="s">
        <v>832</v>
      </c>
      <c r="C391" s="558" t="s">
        <v>821</v>
      </c>
      <c r="D391" s="99"/>
      <c r="E391" s="39" t="s">
        <v>828</v>
      </c>
      <c r="F391" s="388"/>
      <c r="G391" s="564">
        <v>2025</v>
      </c>
      <c r="H391" s="564">
        <v>2030</v>
      </c>
      <c r="I391" s="7">
        <v>0</v>
      </c>
      <c r="J391" s="7">
        <v>0</v>
      </c>
      <c r="K391" s="264">
        <f t="shared" si="681"/>
        <v>0</v>
      </c>
      <c r="L391" s="7">
        <v>2000000</v>
      </c>
      <c r="M391" s="7">
        <v>0</v>
      </c>
      <c r="N391" s="264">
        <f t="shared" si="682"/>
        <v>2000000</v>
      </c>
      <c r="O391" s="7">
        <v>2000000</v>
      </c>
      <c r="P391" s="7">
        <v>0</v>
      </c>
      <c r="Q391" s="264">
        <f t="shared" si="683"/>
        <v>2000000</v>
      </c>
      <c r="R391" s="7">
        <v>2000000</v>
      </c>
      <c r="S391" s="7">
        <v>0</v>
      </c>
      <c r="T391" s="264">
        <f t="shared" si="684"/>
        <v>2000000</v>
      </c>
      <c r="U391" s="7">
        <v>2000000</v>
      </c>
      <c r="V391" s="7">
        <v>0</v>
      </c>
      <c r="W391" s="264">
        <f t="shared" si="685"/>
        <v>2000000</v>
      </c>
      <c r="X391" s="7">
        <v>2000000</v>
      </c>
      <c r="Y391" s="7">
        <v>0</v>
      </c>
      <c r="Z391" s="264">
        <f t="shared" si="679"/>
        <v>2000000</v>
      </c>
      <c r="AA391" s="7">
        <v>2000000</v>
      </c>
      <c r="AB391" s="7">
        <v>0</v>
      </c>
      <c r="AC391" s="264">
        <f t="shared" si="680"/>
        <v>2000000</v>
      </c>
      <c r="AD391" s="83">
        <f t="shared" si="688"/>
        <v>12000000</v>
      </c>
      <c r="AE391" s="83">
        <f t="shared" si="656"/>
        <v>0</v>
      </c>
      <c r="AF391" s="264">
        <f t="shared" si="678"/>
        <v>12000000</v>
      </c>
      <c r="AG391" s="83">
        <v>0</v>
      </c>
      <c r="AH391" s="83">
        <v>0</v>
      </c>
      <c r="AI391" s="264">
        <f t="shared" si="686"/>
        <v>0</v>
      </c>
      <c r="AJ391" s="106">
        <v>0</v>
      </c>
      <c r="AK391" s="106">
        <v>0</v>
      </c>
      <c r="AL391" s="83"/>
      <c r="AM391" s="264">
        <f t="shared" si="657"/>
        <v>0</v>
      </c>
      <c r="AN391" s="83">
        <v>0</v>
      </c>
      <c r="AO391" s="83">
        <v>0</v>
      </c>
      <c r="AP391" s="264">
        <f t="shared" si="687"/>
        <v>0</v>
      </c>
      <c r="AQ391" s="170">
        <f t="shared" si="603"/>
        <v>-12000000</v>
      </c>
      <c r="AR391" s="47"/>
    </row>
    <row r="392" spans="2:44" ht="45" customHeight="1">
      <c r="B392" s="52" t="s">
        <v>833</v>
      </c>
      <c r="C392" s="558" t="s">
        <v>841</v>
      </c>
      <c r="D392" s="99"/>
      <c r="E392" s="39" t="s">
        <v>828</v>
      </c>
      <c r="F392" s="388"/>
      <c r="G392" s="564">
        <v>2025</v>
      </c>
      <c r="H392" s="564">
        <v>2030</v>
      </c>
      <c r="I392" s="7">
        <v>0</v>
      </c>
      <c r="J392" s="7">
        <v>0</v>
      </c>
      <c r="K392" s="264">
        <f>SUM(I392:J392)</f>
        <v>0</v>
      </c>
      <c r="L392" s="7">
        <v>3260130</v>
      </c>
      <c r="M392" s="7">
        <v>0</v>
      </c>
      <c r="N392" s="264">
        <f>SUM(L392:M392)</f>
        <v>3260130</v>
      </c>
      <c r="O392" s="7">
        <v>3260130</v>
      </c>
      <c r="P392" s="7">
        <v>0</v>
      </c>
      <c r="Q392" s="264">
        <f>SUM(O392:P392)</f>
        <v>3260130</v>
      </c>
      <c r="R392" s="7">
        <v>3260130</v>
      </c>
      <c r="S392" s="7">
        <v>0</v>
      </c>
      <c r="T392" s="264">
        <f>SUM(R392:S392)</f>
        <v>3260130</v>
      </c>
      <c r="U392" s="7">
        <v>3260130</v>
      </c>
      <c r="V392" s="7">
        <v>0</v>
      </c>
      <c r="W392" s="264">
        <f>SUM(U392:V392)</f>
        <v>3260130</v>
      </c>
      <c r="X392" s="7">
        <v>3260130</v>
      </c>
      <c r="Y392" s="7">
        <v>0</v>
      </c>
      <c r="Z392" s="264">
        <f t="shared" si="679"/>
        <v>3260130</v>
      </c>
      <c r="AA392" s="7">
        <v>3260130</v>
      </c>
      <c r="AB392" s="7">
        <v>0</v>
      </c>
      <c r="AC392" s="264">
        <f t="shared" si="680"/>
        <v>3260130</v>
      </c>
      <c r="AD392" s="83">
        <f t="shared" si="688"/>
        <v>19560780</v>
      </c>
      <c r="AE392" s="83">
        <f t="shared" si="656"/>
        <v>0</v>
      </c>
      <c r="AF392" s="264">
        <f t="shared" si="678"/>
        <v>19560780</v>
      </c>
      <c r="AG392" s="83">
        <f>3260130*2</f>
        <v>6520260</v>
      </c>
      <c r="AH392" s="83">
        <v>0</v>
      </c>
      <c r="AI392" s="264">
        <f>SUM(AG392:AH392)</f>
        <v>6520260</v>
      </c>
      <c r="AJ392" s="106">
        <v>0</v>
      </c>
      <c r="AK392" s="106">
        <v>0</v>
      </c>
      <c r="AL392" s="83"/>
      <c r="AM392" s="264">
        <f t="shared" si="657"/>
        <v>0</v>
      </c>
      <c r="AN392" s="83">
        <f>3260130*4</f>
        <v>13040520</v>
      </c>
      <c r="AO392" s="83">
        <v>0</v>
      </c>
      <c r="AP392" s="264">
        <f>SUM(AN392:AO392)</f>
        <v>13040520</v>
      </c>
      <c r="AQ392" s="170">
        <f t="shared" si="603"/>
        <v>0</v>
      </c>
      <c r="AR392" s="47"/>
    </row>
    <row r="393" spans="2:44" ht="41.45" customHeight="1">
      <c r="B393" s="52" t="s">
        <v>834</v>
      </c>
      <c r="C393" s="559" t="s">
        <v>842</v>
      </c>
      <c r="D393" s="99"/>
      <c r="E393" s="167" t="s">
        <v>828</v>
      </c>
      <c r="F393" s="395"/>
      <c r="G393" s="565">
        <v>2025</v>
      </c>
      <c r="H393" s="565">
        <v>2030</v>
      </c>
      <c r="I393" s="7">
        <v>0</v>
      </c>
      <c r="J393" s="7">
        <v>0</v>
      </c>
      <c r="K393" s="264">
        <f>SUM(I393:J393)</f>
        <v>0</v>
      </c>
      <c r="L393" s="7">
        <v>2173420</v>
      </c>
      <c r="M393" s="7">
        <v>0</v>
      </c>
      <c r="N393" s="264">
        <f>SUM(L393:M393)</f>
        <v>2173420</v>
      </c>
      <c r="O393" s="7">
        <v>2173420</v>
      </c>
      <c r="P393" s="7">
        <v>0</v>
      </c>
      <c r="Q393" s="264">
        <f>SUM(O393:P393)</f>
        <v>2173420</v>
      </c>
      <c r="R393" s="7">
        <v>2173420</v>
      </c>
      <c r="S393" s="7">
        <v>0</v>
      </c>
      <c r="T393" s="264">
        <f>SUM(R393:S393)</f>
        <v>2173420</v>
      </c>
      <c r="U393" s="7">
        <v>2173420</v>
      </c>
      <c r="V393" s="7">
        <v>0</v>
      </c>
      <c r="W393" s="264">
        <f>SUM(U393:V393)</f>
        <v>2173420</v>
      </c>
      <c r="X393" s="7">
        <v>2173420</v>
      </c>
      <c r="Y393" s="7">
        <v>0</v>
      </c>
      <c r="Z393" s="264">
        <f t="shared" si="679"/>
        <v>2173420</v>
      </c>
      <c r="AA393" s="7">
        <v>2173420</v>
      </c>
      <c r="AB393" s="7">
        <v>0</v>
      </c>
      <c r="AC393" s="264">
        <f t="shared" si="680"/>
        <v>2173420</v>
      </c>
      <c r="AD393" s="83">
        <f t="shared" si="656"/>
        <v>13040520</v>
      </c>
      <c r="AE393" s="83">
        <f t="shared" si="656"/>
        <v>0</v>
      </c>
      <c r="AF393" s="264">
        <f t="shared" si="678"/>
        <v>13040520</v>
      </c>
      <c r="AG393" s="83">
        <f>2173420*2</f>
        <v>4346840</v>
      </c>
      <c r="AH393" s="83">
        <v>0</v>
      </c>
      <c r="AI393" s="264">
        <f>SUM(AG393:AH393)</f>
        <v>4346840</v>
      </c>
      <c r="AJ393" s="106">
        <v>0</v>
      </c>
      <c r="AK393" s="106">
        <v>0</v>
      </c>
      <c r="AL393" s="83"/>
      <c r="AM393" s="264">
        <f t="shared" si="657"/>
        <v>0</v>
      </c>
      <c r="AN393" s="83">
        <f>2173420*4</f>
        <v>8693680</v>
      </c>
      <c r="AO393" s="83">
        <v>0</v>
      </c>
      <c r="AP393" s="264">
        <f>SUM(AN393:AO393)</f>
        <v>8693680</v>
      </c>
      <c r="AQ393" s="170">
        <f t="shared" si="603"/>
        <v>0</v>
      </c>
      <c r="AR393" s="47"/>
    </row>
    <row r="394" spans="2:44" ht="67.5" customHeight="1" thickBot="1">
      <c r="B394" s="213" t="s">
        <v>831</v>
      </c>
      <c r="C394" s="191" t="s">
        <v>844</v>
      </c>
      <c r="D394" s="209"/>
      <c r="E394" s="192"/>
      <c r="F394" s="186"/>
      <c r="G394" s="185">
        <v>2025</v>
      </c>
      <c r="H394" s="185">
        <v>2030</v>
      </c>
      <c r="I394" s="189">
        <f>SUM(I395:I398)</f>
        <v>0</v>
      </c>
      <c r="J394" s="189">
        <f>SUM(J395:J398)</f>
        <v>0</v>
      </c>
      <c r="K394" s="197">
        <f>I394+J394</f>
        <v>0</v>
      </c>
      <c r="L394" s="189">
        <f>SUM(L395:L398)</f>
        <v>3260130</v>
      </c>
      <c r="M394" s="189">
        <f>SUM(M395:M398)</f>
        <v>0</v>
      </c>
      <c r="N394" s="197">
        <f>L394+M394</f>
        <v>3260130</v>
      </c>
      <c r="O394" s="197">
        <f>SUM(O395:O398)</f>
        <v>10867100</v>
      </c>
      <c r="P394" s="197">
        <f>SUM(P395:P398)</f>
        <v>0</v>
      </c>
      <c r="Q394" s="197">
        <f>O394+P394</f>
        <v>10867100</v>
      </c>
      <c r="R394" s="197">
        <f>SUM(R395:R398)</f>
        <v>4346840</v>
      </c>
      <c r="S394" s="197">
        <f>SUM(S395:S398)</f>
        <v>0</v>
      </c>
      <c r="T394" s="197">
        <f>R394+S394</f>
        <v>4346840</v>
      </c>
      <c r="U394" s="197">
        <f>SUM(U395:U398)</f>
        <v>4346840</v>
      </c>
      <c r="V394" s="197">
        <f>SUM(V395:V398)</f>
        <v>0</v>
      </c>
      <c r="W394" s="197">
        <f>U394+V394</f>
        <v>4346840</v>
      </c>
      <c r="X394" s="197">
        <f>SUM(X395:X398)</f>
        <v>4346840</v>
      </c>
      <c r="Y394" s="197">
        <f>SUM(Y395:Y398)</f>
        <v>0</v>
      </c>
      <c r="Z394" s="197">
        <f>SUM(X394:Y394)</f>
        <v>4346840</v>
      </c>
      <c r="AA394" s="197">
        <f>SUM(AA395:AA398)</f>
        <v>4346840</v>
      </c>
      <c r="AB394" s="197">
        <f>SUM(AB395:AB398)</f>
        <v>0</v>
      </c>
      <c r="AC394" s="197">
        <f>SUM(AA394:AB394)</f>
        <v>4346840</v>
      </c>
      <c r="AD394" s="197">
        <f t="shared" ref="AD394" si="689">I394+L394+O394+R394+U394+X394+AA394</f>
        <v>31514590</v>
      </c>
      <c r="AE394" s="197">
        <f t="shared" ref="AE394" si="690">J394+M394+P394+S394+V394+Y394+AB394</f>
        <v>0</v>
      </c>
      <c r="AF394" s="197">
        <f t="shared" ref="AF394" si="691">AD394+AE394</f>
        <v>31514590</v>
      </c>
      <c r="AG394" s="197">
        <f>SUM(AG395:AG398)</f>
        <v>14127230</v>
      </c>
      <c r="AH394" s="197">
        <f>SUM(AH395:AH398)</f>
        <v>0</v>
      </c>
      <c r="AI394" s="197">
        <f>AG394+AH394</f>
        <v>14127230</v>
      </c>
      <c r="AJ394" s="212">
        <f>SUM(AJ395:AJ398)</f>
        <v>0</v>
      </c>
      <c r="AK394" s="212">
        <f>SUM(AK395:AK398)</f>
        <v>0</v>
      </c>
      <c r="AL394" s="197"/>
      <c r="AM394" s="197">
        <f t="shared" ref="AM394" si="692">AJ394+AK394</f>
        <v>0</v>
      </c>
      <c r="AN394" s="197">
        <f>SUM(AN395:AN398)</f>
        <v>17387360</v>
      </c>
      <c r="AO394" s="197">
        <f>SUM(AO395:AO398)</f>
        <v>0</v>
      </c>
      <c r="AP394" s="197">
        <f>AN394+AO394</f>
        <v>17387360</v>
      </c>
      <c r="AQ394" s="211">
        <f t="shared" ref="AQ394" si="693">SUM(AP394+AM394+AI394)-AF394</f>
        <v>0</v>
      </c>
      <c r="AR394" s="47"/>
    </row>
    <row r="395" spans="2:44" ht="55.5" customHeight="1">
      <c r="B395" s="52" t="s">
        <v>152</v>
      </c>
      <c r="C395" s="566" t="s">
        <v>845</v>
      </c>
      <c r="D395" s="99"/>
      <c r="E395" s="330" t="s">
        <v>848</v>
      </c>
      <c r="F395" s="330"/>
      <c r="G395" s="553">
        <v>2025</v>
      </c>
      <c r="H395" s="553">
        <v>2025</v>
      </c>
      <c r="I395" s="7">
        <v>0</v>
      </c>
      <c r="J395" s="7">
        <v>0</v>
      </c>
      <c r="K395" s="264">
        <f>SUM(I395:J395)</f>
        <v>0</v>
      </c>
      <c r="L395" s="7">
        <v>3260130</v>
      </c>
      <c r="M395" s="7">
        <v>0</v>
      </c>
      <c r="N395" s="264">
        <f>SUM(L395:M395)</f>
        <v>3260130</v>
      </c>
      <c r="O395" s="83">
        <v>0</v>
      </c>
      <c r="P395" s="83">
        <v>0</v>
      </c>
      <c r="Q395" s="264">
        <f>SUM(O395:P395)</f>
        <v>0</v>
      </c>
      <c r="R395" s="83">
        <v>0</v>
      </c>
      <c r="S395" s="83">
        <v>0</v>
      </c>
      <c r="T395" s="264">
        <f>SUM(R395:S395)</f>
        <v>0</v>
      </c>
      <c r="U395" s="83">
        <v>0</v>
      </c>
      <c r="V395" s="83">
        <v>0</v>
      </c>
      <c r="W395" s="264">
        <f>SUM(U395:V395)</f>
        <v>0</v>
      </c>
      <c r="X395" s="83">
        <v>0</v>
      </c>
      <c r="Y395" s="83">
        <v>0</v>
      </c>
      <c r="Z395" s="264">
        <f t="shared" si="679"/>
        <v>0</v>
      </c>
      <c r="AA395" s="83">
        <v>0</v>
      </c>
      <c r="AB395" s="83">
        <v>0</v>
      </c>
      <c r="AC395" s="264">
        <f t="shared" si="680"/>
        <v>0</v>
      </c>
      <c r="AD395" s="83">
        <f t="shared" si="656"/>
        <v>3260130</v>
      </c>
      <c r="AE395" s="83">
        <f t="shared" si="656"/>
        <v>0</v>
      </c>
      <c r="AF395" s="264">
        <f t="shared" si="678"/>
        <v>3260130</v>
      </c>
      <c r="AG395" s="83">
        <v>3260130</v>
      </c>
      <c r="AH395" s="83">
        <v>0</v>
      </c>
      <c r="AI395" s="264">
        <f>SUM(AG395:AH395)</f>
        <v>3260130</v>
      </c>
      <c r="AJ395" s="106">
        <v>0</v>
      </c>
      <c r="AK395" s="106">
        <v>0</v>
      </c>
      <c r="AL395" s="83"/>
      <c r="AM395" s="264">
        <f t="shared" si="657"/>
        <v>0</v>
      </c>
      <c r="AN395" s="83">
        <v>0</v>
      </c>
      <c r="AO395" s="83">
        <v>0</v>
      </c>
      <c r="AP395" s="264">
        <f>SUM(AN395:AO395)</f>
        <v>0</v>
      </c>
      <c r="AQ395" s="170">
        <f t="shared" si="603"/>
        <v>0</v>
      </c>
      <c r="AR395" s="47"/>
    </row>
    <row r="396" spans="2:44" ht="55.5" customHeight="1">
      <c r="B396" s="52" t="s">
        <v>153</v>
      </c>
      <c r="C396" s="353" t="s">
        <v>846</v>
      </c>
      <c r="D396" s="99"/>
      <c r="E396" s="330" t="s">
        <v>848</v>
      </c>
      <c r="F396" s="330"/>
      <c r="G396" s="553">
        <v>2026</v>
      </c>
      <c r="H396" s="553">
        <v>2026</v>
      </c>
      <c r="I396" s="7">
        <v>0</v>
      </c>
      <c r="J396" s="7">
        <v>0</v>
      </c>
      <c r="K396" s="264">
        <f t="shared" ref="K396:K397" si="694">SUM(I396:J396)</f>
        <v>0</v>
      </c>
      <c r="L396" s="7">
        <v>0</v>
      </c>
      <c r="M396" s="7">
        <v>0</v>
      </c>
      <c r="N396" s="264">
        <f t="shared" ref="N396:N397" si="695">SUM(L396:M396)</f>
        <v>0</v>
      </c>
      <c r="O396" s="83">
        <v>3260130</v>
      </c>
      <c r="P396" s="83">
        <v>0</v>
      </c>
      <c r="Q396" s="264">
        <f t="shared" ref="Q396:Q397" si="696">SUM(O396:P396)</f>
        <v>3260130</v>
      </c>
      <c r="R396" s="83">
        <v>0</v>
      </c>
      <c r="S396" s="83">
        <v>0</v>
      </c>
      <c r="T396" s="264">
        <f t="shared" ref="T396:T397" si="697">SUM(R396:S396)</f>
        <v>0</v>
      </c>
      <c r="U396" s="83">
        <v>0</v>
      </c>
      <c r="V396" s="83">
        <v>0</v>
      </c>
      <c r="W396" s="264">
        <f t="shared" ref="W396:W397" si="698">SUM(U396:V396)</f>
        <v>0</v>
      </c>
      <c r="X396" s="83">
        <v>0</v>
      </c>
      <c r="Y396" s="83">
        <v>0</v>
      </c>
      <c r="Z396" s="264">
        <f t="shared" si="679"/>
        <v>0</v>
      </c>
      <c r="AA396" s="83">
        <v>0</v>
      </c>
      <c r="AB396" s="83">
        <v>0</v>
      </c>
      <c r="AC396" s="264">
        <f t="shared" si="680"/>
        <v>0</v>
      </c>
      <c r="AD396" s="83">
        <f t="shared" si="656"/>
        <v>3260130</v>
      </c>
      <c r="AE396" s="83">
        <f t="shared" si="656"/>
        <v>0</v>
      </c>
      <c r="AF396" s="264">
        <f t="shared" si="678"/>
        <v>3260130</v>
      </c>
      <c r="AG396" s="83">
        <v>3260130</v>
      </c>
      <c r="AH396" s="83">
        <v>0</v>
      </c>
      <c r="AI396" s="264">
        <f t="shared" ref="AI396:AI397" si="699">SUM(AG396:AH396)</f>
        <v>3260130</v>
      </c>
      <c r="AJ396" s="106">
        <v>0</v>
      </c>
      <c r="AK396" s="106">
        <v>0</v>
      </c>
      <c r="AL396" s="83"/>
      <c r="AM396" s="264">
        <f t="shared" si="657"/>
        <v>0</v>
      </c>
      <c r="AN396" s="83">
        <v>0</v>
      </c>
      <c r="AO396" s="83">
        <v>0</v>
      </c>
      <c r="AP396" s="264">
        <f t="shared" ref="AP396:AP398" si="700">SUM(AN396:AO396)</f>
        <v>0</v>
      </c>
      <c r="AQ396" s="170">
        <f t="shared" si="603"/>
        <v>0</v>
      </c>
      <c r="AR396" s="47"/>
    </row>
    <row r="397" spans="2:44" ht="55.5" customHeight="1">
      <c r="B397" s="52" t="s">
        <v>154</v>
      </c>
      <c r="C397" s="353" t="s">
        <v>847</v>
      </c>
      <c r="D397" s="99"/>
      <c r="E397" s="567" t="s">
        <v>848</v>
      </c>
      <c r="F397" s="335"/>
      <c r="G397" s="553">
        <v>2026</v>
      </c>
      <c r="H397" s="553">
        <v>2026</v>
      </c>
      <c r="I397" s="7">
        <v>0</v>
      </c>
      <c r="J397" s="7">
        <v>0</v>
      </c>
      <c r="K397" s="264">
        <f t="shared" si="694"/>
        <v>0</v>
      </c>
      <c r="L397" s="7">
        <v>0</v>
      </c>
      <c r="M397" s="7">
        <v>0</v>
      </c>
      <c r="N397" s="264">
        <f t="shared" si="695"/>
        <v>0</v>
      </c>
      <c r="O397" s="83">
        <v>3260130</v>
      </c>
      <c r="P397" s="83">
        <v>0</v>
      </c>
      <c r="Q397" s="264">
        <f t="shared" si="696"/>
        <v>3260130</v>
      </c>
      <c r="R397" s="83">
        <v>0</v>
      </c>
      <c r="S397" s="83">
        <v>0</v>
      </c>
      <c r="T397" s="264">
        <f t="shared" si="697"/>
        <v>0</v>
      </c>
      <c r="U397" s="83">
        <v>0</v>
      </c>
      <c r="V397" s="83">
        <v>0</v>
      </c>
      <c r="W397" s="264">
        <f t="shared" si="698"/>
        <v>0</v>
      </c>
      <c r="X397" s="83">
        <v>0</v>
      </c>
      <c r="Y397" s="83">
        <v>0</v>
      </c>
      <c r="Z397" s="264">
        <f t="shared" si="679"/>
        <v>0</v>
      </c>
      <c r="AA397" s="83">
        <v>0</v>
      </c>
      <c r="AB397" s="83">
        <v>0</v>
      </c>
      <c r="AC397" s="264">
        <f t="shared" si="680"/>
        <v>0</v>
      </c>
      <c r="AD397" s="83">
        <f t="shared" si="656"/>
        <v>3260130</v>
      </c>
      <c r="AE397" s="83">
        <f t="shared" si="656"/>
        <v>0</v>
      </c>
      <c r="AF397" s="264">
        <f t="shared" si="678"/>
        <v>3260130</v>
      </c>
      <c r="AG397" s="83">
        <v>3260130</v>
      </c>
      <c r="AH397" s="83">
        <v>0</v>
      </c>
      <c r="AI397" s="264">
        <f t="shared" si="699"/>
        <v>3260130</v>
      </c>
      <c r="AJ397" s="106">
        <v>0</v>
      </c>
      <c r="AK397" s="106">
        <v>0</v>
      </c>
      <c r="AL397" s="83"/>
      <c r="AM397" s="264">
        <f t="shared" si="657"/>
        <v>0</v>
      </c>
      <c r="AN397" s="83">
        <v>0</v>
      </c>
      <c r="AO397" s="83">
        <v>0</v>
      </c>
      <c r="AP397" s="264">
        <f t="shared" si="700"/>
        <v>0</v>
      </c>
      <c r="AQ397" s="170">
        <f t="shared" si="603"/>
        <v>0</v>
      </c>
      <c r="AR397" s="47"/>
    </row>
    <row r="398" spans="2:44" ht="55.5" customHeight="1" thickBot="1">
      <c r="B398" s="52" t="s">
        <v>155</v>
      </c>
      <c r="C398" s="372" t="s">
        <v>785</v>
      </c>
      <c r="D398" s="99"/>
      <c r="E398" s="434" t="s">
        <v>848</v>
      </c>
      <c r="F398" s="336" t="s">
        <v>286</v>
      </c>
      <c r="G398" s="569">
        <v>2026</v>
      </c>
      <c r="H398" s="569">
        <v>2030</v>
      </c>
      <c r="I398" s="7">
        <v>0</v>
      </c>
      <c r="J398" s="7">
        <v>0</v>
      </c>
      <c r="K398" s="264">
        <f>SUM(I398:J398)</f>
        <v>0</v>
      </c>
      <c r="L398" s="7">
        <v>0</v>
      </c>
      <c r="M398" s="7">
        <v>0</v>
      </c>
      <c r="N398" s="264">
        <f>SUM(L398:M398)</f>
        <v>0</v>
      </c>
      <c r="O398" s="83">
        <f>2173420*2</f>
        <v>4346840</v>
      </c>
      <c r="P398" s="83">
        <v>0</v>
      </c>
      <c r="Q398" s="264">
        <f>SUM(O398:P398)</f>
        <v>4346840</v>
      </c>
      <c r="R398" s="83">
        <v>4346840</v>
      </c>
      <c r="S398" s="83">
        <v>0</v>
      </c>
      <c r="T398" s="264">
        <f>SUM(R398:S398)</f>
        <v>4346840</v>
      </c>
      <c r="U398" s="83">
        <v>4346840</v>
      </c>
      <c r="V398" s="83">
        <v>0</v>
      </c>
      <c r="W398" s="264">
        <f>SUM(U398:V398)</f>
        <v>4346840</v>
      </c>
      <c r="X398" s="83">
        <v>4346840</v>
      </c>
      <c r="Y398" s="83">
        <v>0</v>
      </c>
      <c r="Z398" s="264">
        <f t="shared" si="679"/>
        <v>4346840</v>
      </c>
      <c r="AA398" s="83">
        <v>4346840</v>
      </c>
      <c r="AB398" s="83">
        <v>0</v>
      </c>
      <c r="AC398" s="264">
        <f t="shared" si="680"/>
        <v>4346840</v>
      </c>
      <c r="AD398" s="83">
        <f t="shared" si="656"/>
        <v>21734200</v>
      </c>
      <c r="AE398" s="83">
        <f t="shared" si="656"/>
        <v>0</v>
      </c>
      <c r="AF398" s="264">
        <f t="shared" si="678"/>
        <v>21734200</v>
      </c>
      <c r="AG398" s="83">
        <v>4346840</v>
      </c>
      <c r="AH398" s="83">
        <v>0</v>
      </c>
      <c r="AI398" s="264">
        <f>SUM(AG398:AH398)</f>
        <v>4346840</v>
      </c>
      <c r="AJ398" s="106">
        <v>0</v>
      </c>
      <c r="AK398" s="106">
        <v>0</v>
      </c>
      <c r="AL398" s="83"/>
      <c r="AM398" s="264">
        <f t="shared" si="657"/>
        <v>0</v>
      </c>
      <c r="AN398" s="83">
        <f>4346840*4</f>
        <v>17387360</v>
      </c>
      <c r="AO398" s="83">
        <v>0</v>
      </c>
      <c r="AP398" s="264">
        <f t="shared" si="700"/>
        <v>17387360</v>
      </c>
      <c r="AQ398" s="170">
        <f t="shared" si="603"/>
        <v>0</v>
      </c>
      <c r="AR398" s="47"/>
    </row>
    <row r="399" spans="2:44" s="4" customFormat="1" ht="27.75" customHeight="1" thickBot="1">
      <c r="B399" s="150"/>
      <c r="C399" s="151" t="s">
        <v>27</v>
      </c>
      <c r="D399" s="107"/>
      <c r="E399" s="85"/>
      <c r="F399" s="85"/>
      <c r="G399" s="85"/>
      <c r="H399" s="85"/>
      <c r="I399" s="152">
        <f>SUM(I367,I373,I385,I394)</f>
        <v>16750650</v>
      </c>
      <c r="J399" s="152">
        <f t="shared" ref="J399:AK399" si="701">SUM(J367,J373,J385,J394)</f>
        <v>0</v>
      </c>
      <c r="K399" s="152">
        <f t="shared" si="701"/>
        <v>16750650</v>
      </c>
      <c r="L399" s="152">
        <f t="shared" si="701"/>
        <v>39398140</v>
      </c>
      <c r="M399" s="152">
        <f t="shared" si="701"/>
        <v>0</v>
      </c>
      <c r="N399" s="152">
        <f t="shared" si="701"/>
        <v>39398140</v>
      </c>
      <c r="O399" s="152">
        <f t="shared" si="701"/>
        <v>54612080</v>
      </c>
      <c r="P399" s="152">
        <f t="shared" si="701"/>
        <v>6000000</v>
      </c>
      <c r="Q399" s="152">
        <f t="shared" si="701"/>
        <v>60612080</v>
      </c>
      <c r="R399" s="152">
        <f t="shared" si="701"/>
        <v>32877880</v>
      </c>
      <c r="S399" s="152">
        <f t="shared" si="701"/>
        <v>0</v>
      </c>
      <c r="T399" s="152">
        <f t="shared" si="701"/>
        <v>32877880</v>
      </c>
      <c r="U399" s="152">
        <f t="shared" si="701"/>
        <v>29617750</v>
      </c>
      <c r="V399" s="152">
        <f t="shared" si="701"/>
        <v>0</v>
      </c>
      <c r="W399" s="152">
        <f t="shared" si="701"/>
        <v>29617750</v>
      </c>
      <c r="X399" s="152">
        <f t="shared" si="701"/>
        <v>32877880</v>
      </c>
      <c r="Y399" s="152">
        <f t="shared" si="701"/>
        <v>0</v>
      </c>
      <c r="Z399" s="152">
        <f t="shared" si="701"/>
        <v>32877880</v>
      </c>
      <c r="AA399" s="152">
        <f t="shared" si="701"/>
        <v>29617750</v>
      </c>
      <c r="AB399" s="152">
        <f t="shared" si="701"/>
        <v>0</v>
      </c>
      <c r="AC399" s="152">
        <f t="shared" si="701"/>
        <v>29617750</v>
      </c>
      <c r="AD399" s="152">
        <f t="shared" si="701"/>
        <v>235752130</v>
      </c>
      <c r="AE399" s="152">
        <f t="shared" si="701"/>
        <v>6000000</v>
      </c>
      <c r="AF399" s="152">
        <f t="shared" si="701"/>
        <v>241752130</v>
      </c>
      <c r="AG399" s="152">
        <f t="shared" si="701"/>
        <v>110021000</v>
      </c>
      <c r="AH399" s="152">
        <f t="shared" si="701"/>
        <v>0</v>
      </c>
      <c r="AI399" s="152">
        <f t="shared" si="701"/>
        <v>110021000</v>
      </c>
      <c r="AJ399" s="152">
        <f t="shared" si="701"/>
        <v>0</v>
      </c>
      <c r="AK399" s="152">
        <f t="shared" si="701"/>
        <v>0</v>
      </c>
      <c r="AL399" s="152"/>
      <c r="AM399" s="152">
        <f>AM385+AM373+AM367</f>
        <v>0</v>
      </c>
      <c r="AN399" s="152">
        <f>AN385+AN373+AN367</f>
        <v>96343770</v>
      </c>
      <c r="AO399" s="152">
        <f t="shared" ref="AO399:AQ399" si="702">SUM(AO367,AO373,AO385,AO394)</f>
        <v>0</v>
      </c>
      <c r="AP399" s="152">
        <f t="shared" si="702"/>
        <v>113731130</v>
      </c>
      <c r="AQ399" s="172">
        <f t="shared" si="702"/>
        <v>-18000000</v>
      </c>
      <c r="AR399" s="48"/>
    </row>
    <row r="400" spans="2:44" s="4" customFormat="1" ht="79.150000000000006" customHeight="1">
      <c r="B400" s="100">
        <v>3.4</v>
      </c>
      <c r="C400" s="123" t="s">
        <v>873</v>
      </c>
      <c r="D400" s="124"/>
      <c r="E400" s="125"/>
      <c r="F400" s="125"/>
      <c r="G400" s="125"/>
      <c r="H400" s="125"/>
      <c r="I400" s="126"/>
      <c r="J400" s="126"/>
      <c r="K400" s="126"/>
      <c r="L400" s="126"/>
      <c r="M400" s="126"/>
      <c r="N400" s="126"/>
      <c r="O400" s="126"/>
      <c r="P400" s="126"/>
      <c r="Q400" s="126"/>
      <c r="R400" s="126"/>
      <c r="S400" s="126"/>
      <c r="T400" s="126"/>
      <c r="U400" s="126"/>
      <c r="V400" s="126"/>
      <c r="W400" s="126"/>
      <c r="X400" s="126"/>
      <c r="Y400" s="126"/>
      <c r="Z400" s="126"/>
      <c r="AA400" s="126"/>
      <c r="AB400" s="126"/>
      <c r="AC400" s="126"/>
      <c r="AD400" s="126"/>
      <c r="AE400" s="126"/>
      <c r="AF400" s="126"/>
      <c r="AG400" s="126"/>
      <c r="AH400" s="126"/>
      <c r="AI400" s="126"/>
      <c r="AJ400" s="126"/>
      <c r="AK400" s="126"/>
      <c r="AL400" s="126"/>
      <c r="AM400" s="126"/>
      <c r="AN400" s="126"/>
      <c r="AO400" s="126"/>
      <c r="AP400" s="126"/>
      <c r="AQ400" s="127"/>
      <c r="AR400" s="48"/>
    </row>
    <row r="401" spans="2:44" ht="36" customHeight="1">
      <c r="B401" s="61"/>
      <c r="C401" s="62" t="s">
        <v>68</v>
      </c>
      <c r="D401" s="92"/>
      <c r="E401" s="93"/>
      <c r="F401" s="93"/>
      <c r="G401" s="93"/>
      <c r="H401" s="93"/>
      <c r="I401" s="83"/>
      <c r="J401" s="83"/>
      <c r="K401" s="83"/>
      <c r="L401" s="83"/>
      <c r="M401" s="83"/>
      <c r="N401" s="83"/>
      <c r="O401" s="83"/>
      <c r="P401" s="83"/>
      <c r="Q401" s="83"/>
      <c r="R401" s="83"/>
      <c r="S401" s="83"/>
      <c r="T401" s="83"/>
      <c r="U401" s="83"/>
      <c r="V401" s="83"/>
      <c r="W401" s="83"/>
      <c r="X401" s="83"/>
      <c r="Y401" s="83"/>
      <c r="Z401" s="83"/>
      <c r="AA401" s="83"/>
      <c r="AB401" s="83"/>
      <c r="AC401" s="83"/>
      <c r="AD401" s="83"/>
      <c r="AE401" s="83"/>
      <c r="AF401" s="83"/>
      <c r="AG401" s="83"/>
      <c r="AH401" s="83"/>
      <c r="AI401" s="83"/>
      <c r="AJ401" s="83"/>
      <c r="AK401" s="83"/>
      <c r="AL401" s="83"/>
      <c r="AM401" s="83"/>
      <c r="AN401" s="83"/>
      <c r="AO401" s="83"/>
      <c r="AP401" s="83"/>
      <c r="AQ401" s="112"/>
      <c r="AR401" s="47"/>
    </row>
    <row r="402" spans="2:44" ht="36" customHeight="1">
      <c r="B402" s="414" t="s">
        <v>849</v>
      </c>
      <c r="C402" s="739" t="s">
        <v>860</v>
      </c>
      <c r="D402" s="416"/>
      <c r="E402" s="574" t="s">
        <v>872</v>
      </c>
      <c r="F402" s="574"/>
      <c r="G402" s="574">
        <v>2024</v>
      </c>
      <c r="H402" s="574">
        <v>2030</v>
      </c>
      <c r="I402" s="226">
        <f>SUM(I403:I412)</f>
        <v>4326710</v>
      </c>
      <c r="J402" s="226">
        <f>SUM(J403:J412)</f>
        <v>0</v>
      </c>
      <c r="K402" s="197">
        <f>I402+J402</f>
        <v>4326710</v>
      </c>
      <c r="L402" s="197">
        <f>SUM(L403:L412)</f>
        <v>4933420</v>
      </c>
      <c r="M402" s="197">
        <f>SUM(M403:M412)</f>
        <v>0</v>
      </c>
      <c r="N402" s="197">
        <f>L402+M402</f>
        <v>4933420</v>
      </c>
      <c r="O402" s="197">
        <f>SUM(O403:O412)</f>
        <v>3846710</v>
      </c>
      <c r="P402" s="197">
        <f>SUM(P403:P412)</f>
        <v>0</v>
      </c>
      <c r="Q402" s="197">
        <f>O402+P402</f>
        <v>3846710</v>
      </c>
      <c r="R402" s="226">
        <f>SUM(R403:R412)</f>
        <v>3846710</v>
      </c>
      <c r="S402" s="226">
        <f>SUM(S403:S412)</f>
        <v>0</v>
      </c>
      <c r="T402" s="226">
        <f>R402+S402</f>
        <v>3846710</v>
      </c>
      <c r="U402" s="214">
        <f>SUM(U403:U412)</f>
        <v>3846710</v>
      </c>
      <c r="V402" s="214">
        <f>SUM(V403:V412)</f>
        <v>0</v>
      </c>
      <c r="W402" s="214">
        <f>U402+V402</f>
        <v>3846710</v>
      </c>
      <c r="X402" s="214">
        <f>SUM(X403:X412)</f>
        <v>3846710</v>
      </c>
      <c r="Y402" s="214">
        <f>SUM(Y403:Y412)</f>
        <v>0</v>
      </c>
      <c r="Z402" s="214">
        <f>SUM(X402:Y402)</f>
        <v>3846710</v>
      </c>
      <c r="AA402" s="226">
        <f>SUM(AA403:AA412)</f>
        <v>3846710</v>
      </c>
      <c r="AB402" s="226">
        <f>SUM(AB403:AB412)</f>
        <v>0</v>
      </c>
      <c r="AC402" s="197">
        <f>SUM(AA402:AB402)</f>
        <v>3846710</v>
      </c>
      <c r="AD402" s="197">
        <f t="shared" ref="AD402:AD412" si="703">I402+L402+O402+R402+U402+X402+AA402</f>
        <v>28493680</v>
      </c>
      <c r="AE402" s="197">
        <f t="shared" ref="AE402:AE412" si="704">J402+M402+P402+S402+V402+Y402+AB402</f>
        <v>0</v>
      </c>
      <c r="AF402" s="197">
        <f>AD402+AE402</f>
        <v>28493680</v>
      </c>
      <c r="AG402" s="197">
        <f>SUM(AG403:AG412)</f>
        <v>6146840</v>
      </c>
      <c r="AH402" s="197">
        <f>SUM(AH403:AH412)</f>
        <v>0</v>
      </c>
      <c r="AI402" s="197">
        <f>AG402+AH402</f>
        <v>6146840</v>
      </c>
      <c r="AJ402" s="197">
        <f>SUM(AJ403:AJ412)</f>
        <v>0</v>
      </c>
      <c r="AK402" s="197">
        <f>SUM(AK403:AK412)</f>
        <v>0</v>
      </c>
      <c r="AL402" s="197"/>
      <c r="AM402" s="197">
        <f t="shared" ref="AM402:AM412" si="705">AJ402+AK402</f>
        <v>0</v>
      </c>
      <c r="AN402" s="197">
        <f>SUM(AN403:AN412)</f>
        <v>6746840</v>
      </c>
      <c r="AO402" s="197">
        <f>SUM(AO403:AO412)</f>
        <v>0</v>
      </c>
      <c r="AP402" s="197">
        <f>AN402+AO402</f>
        <v>6746840</v>
      </c>
      <c r="AQ402" s="577">
        <f t="shared" ref="AQ402:AQ412" si="706">SUM(AP402+AM402+AI402)-AF402</f>
        <v>-15600000</v>
      </c>
      <c r="AR402" s="47"/>
    </row>
    <row r="403" spans="2:44" ht="36" customHeight="1">
      <c r="B403" s="35" t="s">
        <v>850</v>
      </c>
      <c r="C403" s="575" t="s">
        <v>861</v>
      </c>
      <c r="D403" s="92"/>
      <c r="E403" s="330" t="s">
        <v>871</v>
      </c>
      <c r="F403" s="330"/>
      <c r="G403" s="553">
        <v>2024</v>
      </c>
      <c r="H403" s="553">
        <v>2024</v>
      </c>
      <c r="I403" s="83">
        <v>1200000</v>
      </c>
      <c r="J403" s="83">
        <v>0</v>
      </c>
      <c r="K403" s="264">
        <f t="shared" ref="K403:K412" si="707">SUM(I403:J403)</f>
        <v>1200000</v>
      </c>
      <c r="L403" s="83">
        <v>0</v>
      </c>
      <c r="M403" s="83">
        <v>0</v>
      </c>
      <c r="N403" s="264">
        <f t="shared" ref="N403:N412" si="708">SUM(L403:M403)</f>
        <v>0</v>
      </c>
      <c r="O403" s="83">
        <v>0</v>
      </c>
      <c r="P403" s="83">
        <v>0</v>
      </c>
      <c r="Q403" s="264">
        <f t="shared" ref="Q403:Q412" si="709">SUM(O403:P403)</f>
        <v>0</v>
      </c>
      <c r="R403" s="83">
        <v>0</v>
      </c>
      <c r="S403" s="83">
        <v>0</v>
      </c>
      <c r="T403" s="264">
        <f t="shared" ref="T403:T412" si="710">SUM(R403:S403)</f>
        <v>0</v>
      </c>
      <c r="U403" s="83">
        <v>0</v>
      </c>
      <c r="V403" s="83">
        <v>0</v>
      </c>
      <c r="W403" s="264">
        <f t="shared" ref="W403:W412" si="711">SUM(U403:V403)</f>
        <v>0</v>
      </c>
      <c r="X403" s="83">
        <v>0</v>
      </c>
      <c r="Y403" s="83">
        <v>0</v>
      </c>
      <c r="Z403" s="264">
        <f t="shared" ref="Z403:Z412" si="712">SUM(X403:Y403)</f>
        <v>0</v>
      </c>
      <c r="AA403" s="83">
        <v>0</v>
      </c>
      <c r="AB403" s="83">
        <v>0</v>
      </c>
      <c r="AC403" s="264">
        <f t="shared" ref="AC403:AC412" si="713">SUM(AA403:AB403)</f>
        <v>0</v>
      </c>
      <c r="AD403" s="83">
        <f t="shared" si="703"/>
        <v>1200000</v>
      </c>
      <c r="AE403" s="83">
        <f t="shared" si="704"/>
        <v>0</v>
      </c>
      <c r="AF403" s="264">
        <f t="shared" ref="AF403:AF412" si="714">AD403+AE403</f>
        <v>1200000</v>
      </c>
      <c r="AG403" s="83">
        <v>0</v>
      </c>
      <c r="AH403" s="83">
        <v>0</v>
      </c>
      <c r="AI403" s="264">
        <f t="shared" ref="AI403:AI412" si="715">SUM(AG403:AH403)</f>
        <v>0</v>
      </c>
      <c r="AJ403" s="83">
        <v>0</v>
      </c>
      <c r="AK403" s="83">
        <v>0</v>
      </c>
      <c r="AL403" s="83"/>
      <c r="AM403" s="264">
        <f t="shared" si="705"/>
        <v>0</v>
      </c>
      <c r="AN403" s="83">
        <v>0</v>
      </c>
      <c r="AO403" s="83">
        <v>0</v>
      </c>
      <c r="AP403" s="264">
        <f t="shared" ref="AP403:AP412" si="716">SUM(AN403:AO403)</f>
        <v>0</v>
      </c>
      <c r="AQ403" s="578">
        <f t="shared" si="706"/>
        <v>-1200000</v>
      </c>
      <c r="AR403" s="47"/>
    </row>
    <row r="404" spans="2:44" ht="36" customHeight="1">
      <c r="B404" s="35" t="s">
        <v>851</v>
      </c>
      <c r="C404" s="505" t="s">
        <v>862</v>
      </c>
      <c r="D404" s="92"/>
      <c r="E404" s="330" t="s">
        <v>871</v>
      </c>
      <c r="F404" s="330"/>
      <c r="G404" s="553">
        <v>2024</v>
      </c>
      <c r="H404" s="553">
        <v>2030</v>
      </c>
      <c r="I404" s="83">
        <v>0</v>
      </c>
      <c r="J404" s="83">
        <v>0</v>
      </c>
      <c r="K404" s="264">
        <f t="shared" si="707"/>
        <v>0</v>
      </c>
      <c r="L404" s="83">
        <v>360000</v>
      </c>
      <c r="M404" s="83">
        <v>0</v>
      </c>
      <c r="N404" s="264">
        <f t="shared" si="708"/>
        <v>360000</v>
      </c>
      <c r="O404" s="83">
        <v>360000</v>
      </c>
      <c r="P404" s="83">
        <v>0</v>
      </c>
      <c r="Q404" s="264">
        <f t="shared" si="709"/>
        <v>360000</v>
      </c>
      <c r="R404" s="83">
        <v>360000</v>
      </c>
      <c r="S404" s="83">
        <v>0</v>
      </c>
      <c r="T404" s="264">
        <f t="shared" si="710"/>
        <v>360000</v>
      </c>
      <c r="U404" s="83">
        <v>360000</v>
      </c>
      <c r="V404" s="83">
        <v>0</v>
      </c>
      <c r="W404" s="264">
        <f t="shared" si="711"/>
        <v>360000</v>
      </c>
      <c r="X404" s="83">
        <v>360000</v>
      </c>
      <c r="Y404" s="83">
        <v>0</v>
      </c>
      <c r="Z404" s="264">
        <f t="shared" si="712"/>
        <v>360000</v>
      </c>
      <c r="AA404" s="83">
        <v>360000</v>
      </c>
      <c r="AB404" s="83">
        <v>0</v>
      </c>
      <c r="AC404" s="264">
        <f t="shared" si="713"/>
        <v>360000</v>
      </c>
      <c r="AD404" s="83">
        <f t="shared" si="703"/>
        <v>2160000</v>
      </c>
      <c r="AE404" s="83">
        <f t="shared" si="704"/>
        <v>0</v>
      </c>
      <c r="AF404" s="264">
        <f t="shared" si="714"/>
        <v>2160000</v>
      </c>
      <c r="AG404" s="83">
        <v>0</v>
      </c>
      <c r="AH404" s="83">
        <v>0</v>
      </c>
      <c r="AI404" s="264">
        <f t="shared" si="715"/>
        <v>0</v>
      </c>
      <c r="AJ404" s="83">
        <v>0</v>
      </c>
      <c r="AK404" s="83">
        <v>0</v>
      </c>
      <c r="AL404" s="83"/>
      <c r="AM404" s="264">
        <f t="shared" si="705"/>
        <v>0</v>
      </c>
      <c r="AN404" s="83">
        <v>0</v>
      </c>
      <c r="AO404" s="83">
        <v>0</v>
      </c>
      <c r="AP404" s="264">
        <f t="shared" si="716"/>
        <v>0</v>
      </c>
      <c r="AQ404" s="578">
        <f t="shared" si="706"/>
        <v>-2160000</v>
      </c>
      <c r="AR404" s="47"/>
    </row>
    <row r="405" spans="2:44" ht="36" customHeight="1">
      <c r="B405" s="35" t="s">
        <v>852</v>
      </c>
      <c r="C405" s="505" t="s">
        <v>863</v>
      </c>
      <c r="D405" s="92"/>
      <c r="E405" s="330" t="s">
        <v>872</v>
      </c>
      <c r="F405" s="330"/>
      <c r="G405" s="553">
        <v>2024</v>
      </c>
      <c r="H405" s="553">
        <v>2024</v>
      </c>
      <c r="I405" s="83">
        <v>0</v>
      </c>
      <c r="J405" s="83">
        <v>0</v>
      </c>
      <c r="K405" s="264">
        <f t="shared" si="707"/>
        <v>0</v>
      </c>
      <c r="L405" s="83">
        <v>0</v>
      </c>
      <c r="M405" s="83">
        <v>0</v>
      </c>
      <c r="N405" s="264">
        <f t="shared" si="708"/>
        <v>0</v>
      </c>
      <c r="O405" s="83">
        <v>0</v>
      </c>
      <c r="P405" s="83">
        <v>0</v>
      </c>
      <c r="Q405" s="264">
        <f t="shared" si="709"/>
        <v>0</v>
      </c>
      <c r="R405" s="83">
        <v>0</v>
      </c>
      <c r="S405" s="83">
        <v>0</v>
      </c>
      <c r="T405" s="264">
        <f t="shared" si="710"/>
        <v>0</v>
      </c>
      <c r="U405" s="83">
        <v>0</v>
      </c>
      <c r="V405" s="83">
        <v>0</v>
      </c>
      <c r="W405" s="264">
        <f t="shared" si="711"/>
        <v>0</v>
      </c>
      <c r="X405" s="83">
        <v>0</v>
      </c>
      <c r="Y405" s="83">
        <v>0</v>
      </c>
      <c r="Z405" s="264">
        <f t="shared" si="712"/>
        <v>0</v>
      </c>
      <c r="AA405" s="83">
        <v>0</v>
      </c>
      <c r="AB405" s="83">
        <v>0</v>
      </c>
      <c r="AC405" s="264">
        <f t="shared" si="713"/>
        <v>0</v>
      </c>
      <c r="AD405" s="83">
        <f t="shared" si="703"/>
        <v>0</v>
      </c>
      <c r="AE405" s="83">
        <f t="shared" si="704"/>
        <v>0</v>
      </c>
      <c r="AF405" s="264">
        <f t="shared" si="714"/>
        <v>0</v>
      </c>
      <c r="AG405" s="83">
        <v>0</v>
      </c>
      <c r="AH405" s="83">
        <v>0</v>
      </c>
      <c r="AI405" s="264">
        <f t="shared" si="715"/>
        <v>0</v>
      </c>
      <c r="AJ405" s="83">
        <v>0</v>
      </c>
      <c r="AK405" s="83">
        <v>0</v>
      </c>
      <c r="AL405" s="83"/>
      <c r="AM405" s="264">
        <f t="shared" si="705"/>
        <v>0</v>
      </c>
      <c r="AN405" s="83">
        <v>0</v>
      </c>
      <c r="AO405" s="83">
        <v>0</v>
      </c>
      <c r="AP405" s="264">
        <f t="shared" si="716"/>
        <v>0</v>
      </c>
      <c r="AQ405" s="578">
        <f t="shared" si="706"/>
        <v>0</v>
      </c>
      <c r="AR405" s="47"/>
    </row>
    <row r="406" spans="2:44" ht="36" customHeight="1">
      <c r="B406" s="35" t="s">
        <v>853</v>
      </c>
      <c r="C406" s="505" t="s">
        <v>864</v>
      </c>
      <c r="D406" s="92"/>
      <c r="E406" s="330" t="s">
        <v>872</v>
      </c>
      <c r="F406" s="330"/>
      <c r="G406" s="553">
        <v>2025</v>
      </c>
      <c r="H406" s="553">
        <v>2025</v>
      </c>
      <c r="I406" s="83">
        <v>0</v>
      </c>
      <c r="J406" s="83">
        <v>0</v>
      </c>
      <c r="K406" s="264">
        <f t="shared" si="707"/>
        <v>0</v>
      </c>
      <c r="L406" s="83">
        <v>1086710</v>
      </c>
      <c r="M406" s="83">
        <v>0</v>
      </c>
      <c r="N406" s="264">
        <f t="shared" si="708"/>
        <v>1086710</v>
      </c>
      <c r="O406" s="83">
        <v>0</v>
      </c>
      <c r="P406" s="83">
        <v>0</v>
      </c>
      <c r="Q406" s="264">
        <f t="shared" si="709"/>
        <v>0</v>
      </c>
      <c r="R406" s="83">
        <v>0</v>
      </c>
      <c r="S406" s="83">
        <v>0</v>
      </c>
      <c r="T406" s="264">
        <f t="shared" si="710"/>
        <v>0</v>
      </c>
      <c r="U406" s="83">
        <v>0</v>
      </c>
      <c r="V406" s="83">
        <v>0</v>
      </c>
      <c r="W406" s="264">
        <f t="shared" si="711"/>
        <v>0</v>
      </c>
      <c r="X406" s="83">
        <v>0</v>
      </c>
      <c r="Y406" s="83">
        <v>0</v>
      </c>
      <c r="Z406" s="264">
        <f t="shared" si="712"/>
        <v>0</v>
      </c>
      <c r="AA406" s="83">
        <v>0</v>
      </c>
      <c r="AB406" s="83">
        <v>0</v>
      </c>
      <c r="AC406" s="264">
        <f t="shared" si="713"/>
        <v>0</v>
      </c>
      <c r="AD406" s="83">
        <f t="shared" si="703"/>
        <v>1086710</v>
      </c>
      <c r="AE406" s="83">
        <f t="shared" si="704"/>
        <v>0</v>
      </c>
      <c r="AF406" s="264">
        <f t="shared" si="714"/>
        <v>1086710</v>
      </c>
      <c r="AG406" s="83">
        <v>1086710</v>
      </c>
      <c r="AH406" s="83">
        <v>0</v>
      </c>
      <c r="AI406" s="264">
        <f t="shared" si="715"/>
        <v>1086710</v>
      </c>
      <c r="AJ406" s="83">
        <v>0</v>
      </c>
      <c r="AK406" s="83">
        <v>0</v>
      </c>
      <c r="AL406" s="83"/>
      <c r="AM406" s="264">
        <f t="shared" si="705"/>
        <v>0</v>
      </c>
      <c r="AN406" s="83">
        <v>0</v>
      </c>
      <c r="AO406" s="83">
        <v>0</v>
      </c>
      <c r="AP406" s="264">
        <f t="shared" si="716"/>
        <v>0</v>
      </c>
      <c r="AQ406" s="578">
        <f t="shared" si="706"/>
        <v>0</v>
      </c>
      <c r="AR406" s="47"/>
    </row>
    <row r="407" spans="2:44" ht="36" customHeight="1">
      <c r="B407" s="35" t="s">
        <v>854</v>
      </c>
      <c r="C407" s="505" t="s">
        <v>865</v>
      </c>
      <c r="D407" s="92"/>
      <c r="E407" s="330" t="s">
        <v>871</v>
      </c>
      <c r="F407" s="330"/>
      <c r="G407" s="553">
        <v>2025</v>
      </c>
      <c r="H407" s="553">
        <v>2030</v>
      </c>
      <c r="I407" s="83">
        <v>0</v>
      </c>
      <c r="J407" s="83">
        <v>0</v>
      </c>
      <c r="K407" s="264">
        <f t="shared" si="707"/>
        <v>0</v>
      </c>
      <c r="L407" s="83">
        <v>360000</v>
      </c>
      <c r="M407" s="83">
        <v>0</v>
      </c>
      <c r="N407" s="264">
        <f t="shared" si="708"/>
        <v>360000</v>
      </c>
      <c r="O407" s="83">
        <v>360000</v>
      </c>
      <c r="P407" s="83">
        <v>0</v>
      </c>
      <c r="Q407" s="264">
        <f t="shared" si="709"/>
        <v>360000</v>
      </c>
      <c r="R407" s="83">
        <v>360000</v>
      </c>
      <c r="S407" s="83">
        <v>0</v>
      </c>
      <c r="T407" s="264">
        <f t="shared" si="710"/>
        <v>360000</v>
      </c>
      <c r="U407" s="83">
        <v>360000</v>
      </c>
      <c r="V407" s="83">
        <v>0</v>
      </c>
      <c r="W407" s="264">
        <f t="shared" si="711"/>
        <v>360000</v>
      </c>
      <c r="X407" s="83">
        <v>360000</v>
      </c>
      <c r="Y407" s="83">
        <v>0</v>
      </c>
      <c r="Z407" s="264">
        <f t="shared" si="712"/>
        <v>360000</v>
      </c>
      <c r="AA407" s="83">
        <v>360000</v>
      </c>
      <c r="AB407" s="83">
        <v>0</v>
      </c>
      <c r="AC407" s="264">
        <f t="shared" si="713"/>
        <v>360000</v>
      </c>
      <c r="AD407" s="83">
        <f t="shared" si="703"/>
        <v>2160000</v>
      </c>
      <c r="AE407" s="83">
        <f t="shared" si="704"/>
        <v>0</v>
      </c>
      <c r="AF407" s="264">
        <f t="shared" si="714"/>
        <v>2160000</v>
      </c>
      <c r="AG407" s="83">
        <v>0</v>
      </c>
      <c r="AH407" s="83">
        <v>0</v>
      </c>
      <c r="AI407" s="264">
        <f t="shared" si="715"/>
        <v>0</v>
      </c>
      <c r="AJ407" s="83">
        <v>0</v>
      </c>
      <c r="AK407" s="83">
        <v>0</v>
      </c>
      <c r="AL407" s="83"/>
      <c r="AM407" s="264">
        <f t="shared" si="705"/>
        <v>0</v>
      </c>
      <c r="AN407" s="83">
        <v>0</v>
      </c>
      <c r="AO407" s="83">
        <v>0</v>
      </c>
      <c r="AP407" s="264">
        <f t="shared" si="716"/>
        <v>0</v>
      </c>
      <c r="AQ407" s="578">
        <f t="shared" si="706"/>
        <v>-2160000</v>
      </c>
      <c r="AR407" s="47"/>
    </row>
    <row r="408" spans="2:44" ht="36" customHeight="1">
      <c r="B408" s="35" t="s">
        <v>855</v>
      </c>
      <c r="C408" s="505" t="s">
        <v>866</v>
      </c>
      <c r="D408" s="92"/>
      <c r="E408" s="330" t="s">
        <v>871</v>
      </c>
      <c r="F408" s="330"/>
      <c r="G408" s="553">
        <v>2024</v>
      </c>
      <c r="H408" s="553">
        <v>2030</v>
      </c>
      <c r="I408" s="83">
        <v>240000</v>
      </c>
      <c r="J408" s="83">
        <v>0</v>
      </c>
      <c r="K408" s="264">
        <f t="shared" si="707"/>
        <v>240000</v>
      </c>
      <c r="L408" s="83">
        <v>240000</v>
      </c>
      <c r="M408" s="83">
        <v>0</v>
      </c>
      <c r="N408" s="264">
        <f t="shared" si="708"/>
        <v>240000</v>
      </c>
      <c r="O408" s="83">
        <v>240000</v>
      </c>
      <c r="P408" s="83">
        <v>0</v>
      </c>
      <c r="Q408" s="264">
        <f t="shared" si="709"/>
        <v>240000</v>
      </c>
      <c r="R408" s="83">
        <v>240000</v>
      </c>
      <c r="S408" s="83">
        <v>0</v>
      </c>
      <c r="T408" s="264">
        <f t="shared" si="710"/>
        <v>240000</v>
      </c>
      <c r="U408" s="83">
        <v>240000</v>
      </c>
      <c r="V408" s="83">
        <v>0</v>
      </c>
      <c r="W408" s="264">
        <f t="shared" si="711"/>
        <v>240000</v>
      </c>
      <c r="X408" s="83">
        <v>240000</v>
      </c>
      <c r="Y408" s="83">
        <v>0</v>
      </c>
      <c r="Z408" s="264">
        <f t="shared" si="712"/>
        <v>240000</v>
      </c>
      <c r="AA408" s="83">
        <v>240000</v>
      </c>
      <c r="AB408" s="83">
        <v>0</v>
      </c>
      <c r="AC408" s="264">
        <f t="shared" si="713"/>
        <v>240000</v>
      </c>
      <c r="AD408" s="83">
        <f t="shared" si="703"/>
        <v>1680000</v>
      </c>
      <c r="AE408" s="83">
        <f t="shared" si="704"/>
        <v>0</v>
      </c>
      <c r="AF408" s="264">
        <f t="shared" si="714"/>
        <v>1680000</v>
      </c>
      <c r="AG408" s="83">
        <v>0</v>
      </c>
      <c r="AH408" s="83">
        <v>0</v>
      </c>
      <c r="AI408" s="264">
        <f t="shared" si="715"/>
        <v>0</v>
      </c>
      <c r="AJ408" s="83">
        <v>0</v>
      </c>
      <c r="AK408" s="83">
        <v>0</v>
      </c>
      <c r="AL408" s="83"/>
      <c r="AM408" s="264">
        <f t="shared" si="705"/>
        <v>0</v>
      </c>
      <c r="AN408" s="83">
        <v>0</v>
      </c>
      <c r="AO408" s="83">
        <v>0</v>
      </c>
      <c r="AP408" s="264">
        <f t="shared" si="716"/>
        <v>0</v>
      </c>
      <c r="AQ408" s="578">
        <f t="shared" si="706"/>
        <v>-1680000</v>
      </c>
      <c r="AR408" s="47"/>
    </row>
    <row r="409" spans="2:44" ht="36" customHeight="1">
      <c r="B409" s="35" t="s">
        <v>856</v>
      </c>
      <c r="C409" s="505" t="s">
        <v>867</v>
      </c>
      <c r="D409" s="92"/>
      <c r="E409" s="330" t="s">
        <v>871</v>
      </c>
      <c r="F409" s="330"/>
      <c r="G409" s="553">
        <v>2024</v>
      </c>
      <c r="H409" s="553">
        <v>2030</v>
      </c>
      <c r="I409" s="83">
        <v>1200000</v>
      </c>
      <c r="J409" s="83">
        <v>0</v>
      </c>
      <c r="K409" s="264">
        <f t="shared" si="707"/>
        <v>1200000</v>
      </c>
      <c r="L409" s="83">
        <v>1200000</v>
      </c>
      <c r="M409" s="83">
        <v>0</v>
      </c>
      <c r="N409" s="264">
        <f t="shared" si="708"/>
        <v>1200000</v>
      </c>
      <c r="O409" s="83">
        <v>1200000</v>
      </c>
      <c r="P409" s="83">
        <v>0</v>
      </c>
      <c r="Q409" s="264">
        <f t="shared" si="709"/>
        <v>1200000</v>
      </c>
      <c r="R409" s="83">
        <v>1200000</v>
      </c>
      <c r="S409" s="83">
        <v>0</v>
      </c>
      <c r="T409" s="264">
        <f t="shared" si="710"/>
        <v>1200000</v>
      </c>
      <c r="U409" s="83">
        <v>1200000</v>
      </c>
      <c r="V409" s="83">
        <v>0</v>
      </c>
      <c r="W409" s="264">
        <f t="shared" si="711"/>
        <v>1200000</v>
      </c>
      <c r="X409" s="83">
        <v>1200000</v>
      </c>
      <c r="Y409" s="83">
        <v>0</v>
      </c>
      <c r="Z409" s="264">
        <f t="shared" si="712"/>
        <v>1200000</v>
      </c>
      <c r="AA409" s="83">
        <v>1200000</v>
      </c>
      <c r="AB409" s="83">
        <v>0</v>
      </c>
      <c r="AC409" s="264">
        <f t="shared" si="713"/>
        <v>1200000</v>
      </c>
      <c r="AD409" s="83">
        <f t="shared" si="703"/>
        <v>8400000</v>
      </c>
      <c r="AE409" s="83">
        <f t="shared" si="704"/>
        <v>0</v>
      </c>
      <c r="AF409" s="264">
        <f t="shared" si="714"/>
        <v>8400000</v>
      </c>
      <c r="AG409" s="83">
        <v>0</v>
      </c>
      <c r="AH409" s="83">
        <v>0</v>
      </c>
      <c r="AI409" s="264">
        <f t="shared" si="715"/>
        <v>0</v>
      </c>
      <c r="AJ409" s="83">
        <v>0</v>
      </c>
      <c r="AK409" s="83">
        <v>0</v>
      </c>
      <c r="AL409" s="83"/>
      <c r="AM409" s="264">
        <f t="shared" si="705"/>
        <v>0</v>
      </c>
      <c r="AN409" s="83">
        <v>0</v>
      </c>
      <c r="AO409" s="83">
        <v>0</v>
      </c>
      <c r="AP409" s="264">
        <f t="shared" si="716"/>
        <v>0</v>
      </c>
      <c r="AQ409" s="578">
        <f t="shared" si="706"/>
        <v>-8400000</v>
      </c>
      <c r="AR409" s="47"/>
    </row>
    <row r="410" spans="2:44" ht="36" customHeight="1">
      <c r="B410" s="35" t="s">
        <v>857</v>
      </c>
      <c r="C410" s="505" t="s">
        <v>868</v>
      </c>
      <c r="D410" s="92"/>
      <c r="E410" s="330" t="s">
        <v>871</v>
      </c>
      <c r="F410" s="330"/>
      <c r="G410" s="553">
        <v>2024</v>
      </c>
      <c r="H410" s="553">
        <v>2030</v>
      </c>
      <c r="I410" s="83">
        <v>1086710</v>
      </c>
      <c r="J410" s="83">
        <v>0</v>
      </c>
      <c r="K410" s="264">
        <f t="shared" si="707"/>
        <v>1086710</v>
      </c>
      <c r="L410" s="83">
        <v>1086710</v>
      </c>
      <c r="M410" s="83">
        <v>0</v>
      </c>
      <c r="N410" s="264">
        <f t="shared" si="708"/>
        <v>1086710</v>
      </c>
      <c r="O410" s="83">
        <v>1086710</v>
      </c>
      <c r="P410" s="83">
        <v>0</v>
      </c>
      <c r="Q410" s="264">
        <f t="shared" si="709"/>
        <v>1086710</v>
      </c>
      <c r="R410" s="83">
        <v>1086710</v>
      </c>
      <c r="S410" s="83">
        <v>0</v>
      </c>
      <c r="T410" s="264">
        <f t="shared" si="710"/>
        <v>1086710</v>
      </c>
      <c r="U410" s="83">
        <v>1086710</v>
      </c>
      <c r="V410" s="83">
        <v>0</v>
      </c>
      <c r="W410" s="264">
        <f t="shared" si="711"/>
        <v>1086710</v>
      </c>
      <c r="X410" s="83">
        <v>1086710</v>
      </c>
      <c r="Y410" s="83">
        <v>0</v>
      </c>
      <c r="Z410" s="264">
        <f t="shared" si="712"/>
        <v>1086710</v>
      </c>
      <c r="AA410" s="83">
        <v>1086710</v>
      </c>
      <c r="AB410" s="83">
        <v>0</v>
      </c>
      <c r="AC410" s="264">
        <f t="shared" si="713"/>
        <v>1086710</v>
      </c>
      <c r="AD410" s="83">
        <f t="shared" si="703"/>
        <v>7606970</v>
      </c>
      <c r="AE410" s="83">
        <f t="shared" si="704"/>
        <v>0</v>
      </c>
      <c r="AF410" s="264">
        <f t="shared" si="714"/>
        <v>7606970</v>
      </c>
      <c r="AG410" s="83">
        <f>1086710*3</f>
        <v>3260130</v>
      </c>
      <c r="AH410" s="83">
        <v>0</v>
      </c>
      <c r="AI410" s="264">
        <f t="shared" si="715"/>
        <v>3260130</v>
      </c>
      <c r="AJ410" s="83">
        <v>0</v>
      </c>
      <c r="AK410" s="83">
        <v>0</v>
      </c>
      <c r="AL410" s="83"/>
      <c r="AM410" s="264">
        <f t="shared" si="705"/>
        <v>0</v>
      </c>
      <c r="AN410" s="83">
        <f>1086710*4</f>
        <v>4346840</v>
      </c>
      <c r="AO410" s="83">
        <v>0</v>
      </c>
      <c r="AP410" s="264">
        <f t="shared" si="716"/>
        <v>4346840</v>
      </c>
      <c r="AQ410" s="578">
        <f t="shared" si="706"/>
        <v>0</v>
      </c>
      <c r="AR410" s="47"/>
    </row>
    <row r="411" spans="2:44" ht="36" customHeight="1">
      <c r="B411" s="35" t="s">
        <v>858</v>
      </c>
      <c r="C411" s="505" t="s">
        <v>869</v>
      </c>
      <c r="D411" s="92"/>
      <c r="E411" s="330" t="s">
        <v>871</v>
      </c>
      <c r="F411" s="330"/>
      <c r="G411" s="553">
        <v>2024</v>
      </c>
      <c r="H411" s="553">
        <v>2030</v>
      </c>
      <c r="I411" s="83">
        <v>0</v>
      </c>
      <c r="J411" s="83">
        <v>0</v>
      </c>
      <c r="K411" s="264">
        <f t="shared" si="707"/>
        <v>0</v>
      </c>
      <c r="L411" s="83">
        <v>0</v>
      </c>
      <c r="M411" s="83">
        <v>0</v>
      </c>
      <c r="N411" s="264">
        <f t="shared" si="708"/>
        <v>0</v>
      </c>
      <c r="O411" s="83">
        <v>0</v>
      </c>
      <c r="P411" s="83">
        <v>0</v>
      </c>
      <c r="Q411" s="264">
        <f t="shared" si="709"/>
        <v>0</v>
      </c>
      <c r="R411" s="83">
        <v>0</v>
      </c>
      <c r="S411" s="83">
        <v>0</v>
      </c>
      <c r="T411" s="264">
        <f t="shared" si="710"/>
        <v>0</v>
      </c>
      <c r="U411" s="83">
        <v>0</v>
      </c>
      <c r="V411" s="83">
        <v>0</v>
      </c>
      <c r="W411" s="264">
        <f t="shared" si="711"/>
        <v>0</v>
      </c>
      <c r="X411" s="83">
        <v>0</v>
      </c>
      <c r="Y411" s="83">
        <v>0</v>
      </c>
      <c r="Z411" s="264">
        <f t="shared" si="712"/>
        <v>0</v>
      </c>
      <c r="AA411" s="83">
        <v>0</v>
      </c>
      <c r="AB411" s="83">
        <v>0</v>
      </c>
      <c r="AC411" s="264">
        <f t="shared" si="713"/>
        <v>0</v>
      </c>
      <c r="AD411" s="83">
        <f t="shared" si="703"/>
        <v>0</v>
      </c>
      <c r="AE411" s="83">
        <f t="shared" si="704"/>
        <v>0</v>
      </c>
      <c r="AF411" s="264">
        <f t="shared" si="714"/>
        <v>0</v>
      </c>
      <c r="AG411" s="83">
        <v>0</v>
      </c>
      <c r="AH411" s="83">
        <v>0</v>
      </c>
      <c r="AI411" s="264">
        <f t="shared" si="715"/>
        <v>0</v>
      </c>
      <c r="AJ411" s="83">
        <v>0</v>
      </c>
      <c r="AK411" s="83">
        <v>0</v>
      </c>
      <c r="AL411" s="83"/>
      <c r="AM411" s="264">
        <f t="shared" si="705"/>
        <v>0</v>
      </c>
      <c r="AN411" s="83">
        <v>0</v>
      </c>
      <c r="AO411" s="83">
        <v>0</v>
      </c>
      <c r="AP411" s="264">
        <f t="shared" si="716"/>
        <v>0</v>
      </c>
      <c r="AQ411" s="578">
        <f t="shared" si="706"/>
        <v>0</v>
      </c>
      <c r="AR411" s="47"/>
    </row>
    <row r="412" spans="2:44" ht="36" customHeight="1">
      <c r="B412" s="35" t="s">
        <v>859</v>
      </c>
      <c r="C412" s="505" t="s">
        <v>870</v>
      </c>
      <c r="D412" s="92"/>
      <c r="E412" s="330" t="s">
        <v>871</v>
      </c>
      <c r="F412" s="330"/>
      <c r="G412" s="553">
        <v>2024</v>
      </c>
      <c r="H412" s="553">
        <v>2030</v>
      </c>
      <c r="I412" s="83">
        <v>600000</v>
      </c>
      <c r="J412" s="83">
        <v>0</v>
      </c>
      <c r="K412" s="264">
        <f t="shared" si="707"/>
        <v>600000</v>
      </c>
      <c r="L412" s="83">
        <v>600000</v>
      </c>
      <c r="M412" s="83">
        <v>0</v>
      </c>
      <c r="N412" s="264">
        <f t="shared" si="708"/>
        <v>600000</v>
      </c>
      <c r="O412" s="83">
        <v>600000</v>
      </c>
      <c r="P412" s="83">
        <v>0</v>
      </c>
      <c r="Q412" s="264">
        <f t="shared" si="709"/>
        <v>600000</v>
      </c>
      <c r="R412" s="83">
        <v>600000</v>
      </c>
      <c r="S412" s="83">
        <v>0</v>
      </c>
      <c r="T412" s="264">
        <f t="shared" si="710"/>
        <v>600000</v>
      </c>
      <c r="U412" s="83">
        <v>600000</v>
      </c>
      <c r="V412" s="83">
        <v>0</v>
      </c>
      <c r="W412" s="264">
        <f t="shared" si="711"/>
        <v>600000</v>
      </c>
      <c r="X412" s="83">
        <v>600000</v>
      </c>
      <c r="Y412" s="83">
        <v>0</v>
      </c>
      <c r="Z412" s="264">
        <f t="shared" si="712"/>
        <v>600000</v>
      </c>
      <c r="AA412" s="83">
        <v>600000</v>
      </c>
      <c r="AB412" s="83">
        <v>0</v>
      </c>
      <c r="AC412" s="264">
        <f t="shared" si="713"/>
        <v>600000</v>
      </c>
      <c r="AD412" s="83">
        <f t="shared" si="703"/>
        <v>4200000</v>
      </c>
      <c r="AE412" s="83">
        <f t="shared" si="704"/>
        <v>0</v>
      </c>
      <c r="AF412" s="264">
        <f t="shared" si="714"/>
        <v>4200000</v>
      </c>
      <c r="AG412" s="83">
        <f>600000*3</f>
        <v>1800000</v>
      </c>
      <c r="AH412" s="83">
        <v>0</v>
      </c>
      <c r="AI412" s="264">
        <f t="shared" si="715"/>
        <v>1800000</v>
      </c>
      <c r="AJ412" s="83">
        <v>0</v>
      </c>
      <c r="AK412" s="83">
        <v>0</v>
      </c>
      <c r="AL412" s="83"/>
      <c r="AM412" s="264">
        <f t="shared" si="705"/>
        <v>0</v>
      </c>
      <c r="AN412" s="83">
        <f>600000*4</f>
        <v>2400000</v>
      </c>
      <c r="AO412" s="83">
        <v>0</v>
      </c>
      <c r="AP412" s="264">
        <f t="shared" si="716"/>
        <v>2400000</v>
      </c>
      <c r="AQ412" s="578">
        <f t="shared" si="706"/>
        <v>0</v>
      </c>
      <c r="AR412" s="47"/>
    </row>
    <row r="413" spans="2:44" ht="36" customHeight="1">
      <c r="B413" s="210" t="s">
        <v>874</v>
      </c>
      <c r="C413" s="747" t="s">
        <v>880</v>
      </c>
      <c r="D413" s="217"/>
      <c r="E413" s="192" t="s">
        <v>886</v>
      </c>
      <c r="F413" s="192"/>
      <c r="G413" s="582">
        <v>2024</v>
      </c>
      <c r="H413" s="580">
        <v>2030</v>
      </c>
      <c r="I413" s="197">
        <f>SUM(I414:I418)</f>
        <v>1168170</v>
      </c>
      <c r="J413" s="197">
        <f>SUM(J414:J418)</f>
        <v>0</v>
      </c>
      <c r="K413" s="197">
        <f>I413+J413</f>
        <v>1168170</v>
      </c>
      <c r="L413" s="197">
        <f>SUM(L414:L418)</f>
        <v>1616340</v>
      </c>
      <c r="M413" s="197">
        <f>SUM(M414:M418)</f>
        <v>9000000</v>
      </c>
      <c r="N413" s="197">
        <f>L413+M413</f>
        <v>10616340</v>
      </c>
      <c r="O413" s="197">
        <f>SUM(O414:O418)</f>
        <v>1616340</v>
      </c>
      <c r="P413" s="197">
        <f>SUM(P414:P418)</f>
        <v>0</v>
      </c>
      <c r="Q413" s="197">
        <f>O413+P413</f>
        <v>1616340</v>
      </c>
      <c r="R413" s="197">
        <f>SUM(R414:R418)</f>
        <v>1616340</v>
      </c>
      <c r="S413" s="197">
        <f>SUM(S414:S418)</f>
        <v>0</v>
      </c>
      <c r="T413" s="197">
        <f>R413+S413</f>
        <v>1616340</v>
      </c>
      <c r="U413" s="197">
        <f>SUM(U414:U418)</f>
        <v>1616340</v>
      </c>
      <c r="V413" s="197">
        <f>SUM(V414:V418)</f>
        <v>0</v>
      </c>
      <c r="W413" s="197">
        <f>U413+V413</f>
        <v>1616340</v>
      </c>
      <c r="X413" s="197">
        <f>SUM(X414:X418)</f>
        <v>1616340</v>
      </c>
      <c r="Y413" s="197">
        <f>SUM(Y414:Y418)</f>
        <v>0</v>
      </c>
      <c r="Z413" s="197">
        <f>SUM(X413:Y413)</f>
        <v>1616340</v>
      </c>
      <c r="AA413" s="197">
        <f>SUM(AA414:AA418)</f>
        <v>1616340</v>
      </c>
      <c r="AB413" s="197">
        <f>SUM(AB414:AB418)</f>
        <v>0</v>
      </c>
      <c r="AC413" s="197">
        <f>SUM(AA413:AB413)</f>
        <v>1616340</v>
      </c>
      <c r="AD413" s="197">
        <f t="shared" ref="AD413:AD418" si="717">I413+L413+O413+R413+U413+X413+AA413</f>
        <v>10866210</v>
      </c>
      <c r="AE413" s="197">
        <f t="shared" ref="AE413:AE418" si="718">J413+M413+P413+S413+V413+Y413+AB413</f>
        <v>9000000</v>
      </c>
      <c r="AF413" s="197">
        <f>AD413+AE413</f>
        <v>19866210</v>
      </c>
      <c r="AG413" s="197">
        <f>SUM(AG414:AG418)</f>
        <v>4400850</v>
      </c>
      <c r="AH413" s="197">
        <f>SUM(AH414:AH418)</f>
        <v>0</v>
      </c>
      <c r="AI413" s="197">
        <f>AG413+AH413</f>
        <v>4400850</v>
      </c>
      <c r="AJ413" s="197">
        <f>SUM(AJ414:AJ418)</f>
        <v>0</v>
      </c>
      <c r="AK413" s="197">
        <f>SUM(AK414:AK418)</f>
        <v>0</v>
      </c>
      <c r="AL413" s="197"/>
      <c r="AM413" s="197">
        <f t="shared" ref="AM413:AM418" si="719">AJ413+AK413</f>
        <v>0</v>
      </c>
      <c r="AN413" s="197">
        <f>SUM(AN414:AN418)</f>
        <v>6465360</v>
      </c>
      <c r="AO413" s="197">
        <f>SUM(AO414:AO418)</f>
        <v>0</v>
      </c>
      <c r="AP413" s="197">
        <f>AN413+AO413</f>
        <v>6465360</v>
      </c>
      <c r="AQ413" s="577">
        <f t="shared" ref="AQ413:AQ418" si="720">SUM(AP413+AM413+AI413)-AF413</f>
        <v>-9000000</v>
      </c>
      <c r="AR413" s="47"/>
    </row>
    <row r="414" spans="2:44" ht="36" customHeight="1">
      <c r="B414" s="35" t="s">
        <v>875</v>
      </c>
      <c r="C414" s="505" t="s">
        <v>881</v>
      </c>
      <c r="D414" s="92"/>
      <c r="E414" s="330" t="s">
        <v>886</v>
      </c>
      <c r="F414" s="330"/>
      <c r="G414" s="583">
        <v>2024</v>
      </c>
      <c r="H414" s="553">
        <v>2030</v>
      </c>
      <c r="I414" s="83">
        <v>808170</v>
      </c>
      <c r="J414" s="83">
        <v>0</v>
      </c>
      <c r="K414" s="264">
        <f t="shared" ref="K414:K418" si="721">SUM(I414:J414)</f>
        <v>808170</v>
      </c>
      <c r="L414" s="83">
        <v>808170</v>
      </c>
      <c r="M414" s="83">
        <v>0</v>
      </c>
      <c r="N414" s="264">
        <f t="shared" ref="N414:N418" si="722">SUM(L414:M414)</f>
        <v>808170</v>
      </c>
      <c r="O414" s="83">
        <v>808170</v>
      </c>
      <c r="P414" s="83">
        <v>0</v>
      </c>
      <c r="Q414" s="264">
        <f t="shared" ref="Q414:Q418" si="723">SUM(O414:P414)</f>
        <v>808170</v>
      </c>
      <c r="R414" s="83">
        <v>808170</v>
      </c>
      <c r="S414" s="83">
        <v>0</v>
      </c>
      <c r="T414" s="264">
        <f t="shared" ref="T414:T418" si="724">SUM(R414:S414)</f>
        <v>808170</v>
      </c>
      <c r="U414" s="83">
        <v>808170</v>
      </c>
      <c r="V414" s="83">
        <v>0</v>
      </c>
      <c r="W414" s="264">
        <f t="shared" ref="W414:W418" si="725">SUM(U414:V414)</f>
        <v>808170</v>
      </c>
      <c r="X414" s="83">
        <v>808170</v>
      </c>
      <c r="Y414" s="83">
        <v>0</v>
      </c>
      <c r="Z414" s="264">
        <f t="shared" ref="Z414:Z418" si="726">SUM(X414:Y414)</f>
        <v>808170</v>
      </c>
      <c r="AA414" s="83">
        <v>808170</v>
      </c>
      <c r="AB414" s="83">
        <v>0</v>
      </c>
      <c r="AC414" s="264">
        <f t="shared" ref="AC414:AC418" si="727">SUM(AA414:AB414)</f>
        <v>808170</v>
      </c>
      <c r="AD414" s="83">
        <f t="shared" si="717"/>
        <v>5657190</v>
      </c>
      <c r="AE414" s="83">
        <f t="shared" si="718"/>
        <v>0</v>
      </c>
      <c r="AF414" s="264">
        <f t="shared" ref="AF414:AF418" si="728">AD414+AE414</f>
        <v>5657190</v>
      </c>
      <c r="AG414" s="83">
        <f>808170*3</f>
        <v>2424510</v>
      </c>
      <c r="AH414" s="83">
        <v>0</v>
      </c>
      <c r="AI414" s="264">
        <f t="shared" ref="AI414:AI418" si="729">SUM(AG414:AH414)</f>
        <v>2424510</v>
      </c>
      <c r="AJ414" s="83">
        <v>0</v>
      </c>
      <c r="AK414" s="83">
        <v>0</v>
      </c>
      <c r="AL414" s="83"/>
      <c r="AM414" s="264">
        <f t="shared" si="719"/>
        <v>0</v>
      </c>
      <c r="AN414" s="83">
        <f>808170*4</f>
        <v>3232680</v>
      </c>
      <c r="AO414" s="83">
        <v>0</v>
      </c>
      <c r="AP414" s="264">
        <f t="shared" ref="AP414:AP418" si="730">SUM(AN414:AO414)</f>
        <v>3232680</v>
      </c>
      <c r="AQ414" s="578">
        <f t="shared" si="720"/>
        <v>0</v>
      </c>
      <c r="AR414" s="47"/>
    </row>
    <row r="415" spans="2:44" ht="36" customHeight="1">
      <c r="B415" s="35" t="s">
        <v>876</v>
      </c>
      <c r="C415" s="505" t="s">
        <v>882</v>
      </c>
      <c r="D415" s="92"/>
      <c r="E415" s="330" t="s">
        <v>886</v>
      </c>
      <c r="F415" s="330"/>
      <c r="G415" s="583">
        <v>2024</v>
      </c>
      <c r="H415" s="553">
        <v>2030</v>
      </c>
      <c r="I415" s="83">
        <v>0</v>
      </c>
      <c r="J415" s="83">
        <v>0</v>
      </c>
      <c r="K415" s="264">
        <f t="shared" si="721"/>
        <v>0</v>
      </c>
      <c r="L415" s="83">
        <v>0</v>
      </c>
      <c r="M415" s="83">
        <v>7500000</v>
      </c>
      <c r="N415" s="264">
        <f t="shared" si="722"/>
        <v>7500000</v>
      </c>
      <c r="O415" s="83">
        <v>0</v>
      </c>
      <c r="P415" s="83">
        <v>0</v>
      </c>
      <c r="Q415" s="264">
        <f t="shared" si="723"/>
        <v>0</v>
      </c>
      <c r="R415" s="83">
        <v>0</v>
      </c>
      <c r="S415" s="83">
        <v>0</v>
      </c>
      <c r="T415" s="264">
        <f t="shared" si="724"/>
        <v>0</v>
      </c>
      <c r="U415" s="83">
        <v>0</v>
      </c>
      <c r="V415" s="83">
        <v>0</v>
      </c>
      <c r="W415" s="264">
        <f t="shared" si="725"/>
        <v>0</v>
      </c>
      <c r="X415" s="83">
        <v>0</v>
      </c>
      <c r="Y415" s="83">
        <v>0</v>
      </c>
      <c r="Z415" s="264">
        <f t="shared" si="726"/>
        <v>0</v>
      </c>
      <c r="AA415" s="83">
        <v>0</v>
      </c>
      <c r="AB415" s="83">
        <v>0</v>
      </c>
      <c r="AC415" s="264">
        <f t="shared" si="727"/>
        <v>0</v>
      </c>
      <c r="AD415" s="83">
        <f t="shared" si="717"/>
        <v>0</v>
      </c>
      <c r="AE415" s="83">
        <f t="shared" si="718"/>
        <v>7500000</v>
      </c>
      <c r="AF415" s="264">
        <f t="shared" si="728"/>
        <v>7500000</v>
      </c>
      <c r="AG415" s="83">
        <v>0</v>
      </c>
      <c r="AH415" s="83">
        <v>0</v>
      </c>
      <c r="AI415" s="264">
        <f t="shared" si="729"/>
        <v>0</v>
      </c>
      <c r="AJ415" s="83">
        <v>0</v>
      </c>
      <c r="AK415" s="83">
        <v>0</v>
      </c>
      <c r="AL415" s="83"/>
      <c r="AM415" s="264">
        <f t="shared" si="719"/>
        <v>0</v>
      </c>
      <c r="AN415" s="83">
        <v>0</v>
      </c>
      <c r="AO415" s="83">
        <v>0</v>
      </c>
      <c r="AP415" s="264">
        <f t="shared" si="730"/>
        <v>0</v>
      </c>
      <c r="AQ415" s="578">
        <f t="shared" si="720"/>
        <v>-7500000</v>
      </c>
      <c r="AR415" s="47"/>
    </row>
    <row r="416" spans="2:44" ht="36" customHeight="1">
      <c r="B416" s="35" t="s">
        <v>877</v>
      </c>
      <c r="C416" s="505" t="s">
        <v>883</v>
      </c>
      <c r="D416" s="92"/>
      <c r="E416" s="330" t="s">
        <v>886</v>
      </c>
      <c r="F416" s="330"/>
      <c r="G416" s="583">
        <v>2024</v>
      </c>
      <c r="H416" s="553">
        <v>2024</v>
      </c>
      <c r="I416" s="83">
        <v>360000</v>
      </c>
      <c r="J416" s="83">
        <v>0</v>
      </c>
      <c r="K416" s="264">
        <f t="shared" si="721"/>
        <v>360000</v>
      </c>
      <c r="L416" s="83">
        <v>0</v>
      </c>
      <c r="M416" s="83">
        <v>0</v>
      </c>
      <c r="N416" s="264">
        <f t="shared" si="722"/>
        <v>0</v>
      </c>
      <c r="O416" s="83">
        <v>0</v>
      </c>
      <c r="P416" s="83">
        <v>0</v>
      </c>
      <c r="Q416" s="264">
        <f t="shared" si="723"/>
        <v>0</v>
      </c>
      <c r="R416" s="83">
        <v>0</v>
      </c>
      <c r="S416" s="83">
        <v>0</v>
      </c>
      <c r="T416" s="264">
        <f t="shared" si="724"/>
        <v>0</v>
      </c>
      <c r="U416" s="83">
        <v>0</v>
      </c>
      <c r="V416" s="83">
        <v>0</v>
      </c>
      <c r="W416" s="264">
        <f t="shared" si="725"/>
        <v>0</v>
      </c>
      <c r="X416" s="83">
        <v>0</v>
      </c>
      <c r="Y416" s="83">
        <v>0</v>
      </c>
      <c r="Z416" s="264">
        <f t="shared" si="726"/>
        <v>0</v>
      </c>
      <c r="AA416" s="83">
        <v>0</v>
      </c>
      <c r="AB416" s="83">
        <v>0</v>
      </c>
      <c r="AC416" s="264">
        <f t="shared" si="727"/>
        <v>0</v>
      </c>
      <c r="AD416" s="83">
        <f t="shared" si="717"/>
        <v>360000</v>
      </c>
      <c r="AE416" s="83">
        <f t="shared" si="718"/>
        <v>0</v>
      </c>
      <c r="AF416" s="264">
        <f t="shared" si="728"/>
        <v>360000</v>
      </c>
      <c r="AG416" s="83">
        <v>360000</v>
      </c>
      <c r="AH416" s="83">
        <v>0</v>
      </c>
      <c r="AI416" s="264">
        <f t="shared" si="729"/>
        <v>360000</v>
      </c>
      <c r="AJ416" s="83">
        <v>0</v>
      </c>
      <c r="AK416" s="83">
        <v>0</v>
      </c>
      <c r="AL416" s="83"/>
      <c r="AM416" s="264">
        <f t="shared" si="719"/>
        <v>0</v>
      </c>
      <c r="AN416" s="83">
        <v>0</v>
      </c>
      <c r="AO416" s="83">
        <v>0</v>
      </c>
      <c r="AP416" s="264">
        <f t="shared" si="730"/>
        <v>0</v>
      </c>
      <c r="AQ416" s="578">
        <f t="shared" si="720"/>
        <v>0</v>
      </c>
      <c r="AR416" s="47"/>
    </row>
    <row r="417" spans="2:44" ht="36" customHeight="1">
      <c r="B417" s="35" t="s">
        <v>878</v>
      </c>
      <c r="C417" s="505" t="s">
        <v>884</v>
      </c>
      <c r="D417" s="92"/>
      <c r="E417" s="330" t="s">
        <v>886</v>
      </c>
      <c r="F417" s="330"/>
      <c r="G417" s="583">
        <v>2025</v>
      </c>
      <c r="H417" s="553">
        <v>2025</v>
      </c>
      <c r="I417" s="83">
        <v>0</v>
      </c>
      <c r="J417" s="83">
        <v>0</v>
      </c>
      <c r="K417" s="264">
        <f t="shared" si="721"/>
        <v>0</v>
      </c>
      <c r="L417" s="83">
        <v>0</v>
      </c>
      <c r="M417" s="83">
        <v>1500000</v>
      </c>
      <c r="N417" s="264">
        <f t="shared" si="722"/>
        <v>1500000</v>
      </c>
      <c r="O417" s="83">
        <v>0</v>
      </c>
      <c r="P417" s="83">
        <v>0</v>
      </c>
      <c r="Q417" s="264">
        <f t="shared" si="723"/>
        <v>0</v>
      </c>
      <c r="R417" s="83">
        <v>0</v>
      </c>
      <c r="S417" s="83">
        <v>0</v>
      </c>
      <c r="T417" s="264">
        <f t="shared" si="724"/>
        <v>0</v>
      </c>
      <c r="U417" s="83">
        <v>0</v>
      </c>
      <c r="V417" s="83">
        <v>0</v>
      </c>
      <c r="W417" s="264">
        <f t="shared" si="725"/>
        <v>0</v>
      </c>
      <c r="X417" s="83">
        <v>0</v>
      </c>
      <c r="Y417" s="83">
        <v>0</v>
      </c>
      <c r="Z417" s="264">
        <f t="shared" si="726"/>
        <v>0</v>
      </c>
      <c r="AA417" s="83">
        <v>0</v>
      </c>
      <c r="AB417" s="83">
        <v>0</v>
      </c>
      <c r="AC417" s="264">
        <f t="shared" si="727"/>
        <v>0</v>
      </c>
      <c r="AD417" s="83">
        <f t="shared" si="717"/>
        <v>0</v>
      </c>
      <c r="AE417" s="83">
        <f t="shared" si="718"/>
        <v>1500000</v>
      </c>
      <c r="AF417" s="264">
        <f t="shared" si="728"/>
        <v>1500000</v>
      </c>
      <c r="AG417" s="83">
        <v>0</v>
      </c>
      <c r="AH417" s="83">
        <v>0</v>
      </c>
      <c r="AI417" s="264">
        <f t="shared" si="729"/>
        <v>0</v>
      </c>
      <c r="AJ417" s="83">
        <v>0</v>
      </c>
      <c r="AK417" s="83">
        <v>0</v>
      </c>
      <c r="AL417" s="83"/>
      <c r="AM417" s="264">
        <f t="shared" si="719"/>
        <v>0</v>
      </c>
      <c r="AN417" s="83">
        <v>0</v>
      </c>
      <c r="AO417" s="83">
        <v>0</v>
      </c>
      <c r="AP417" s="264">
        <f t="shared" si="730"/>
        <v>0</v>
      </c>
      <c r="AQ417" s="578">
        <f t="shared" si="720"/>
        <v>-1500000</v>
      </c>
      <c r="AR417" s="47"/>
    </row>
    <row r="418" spans="2:44" ht="36" customHeight="1">
      <c r="B418" s="88" t="s">
        <v>879</v>
      </c>
      <c r="C418" s="764" t="s">
        <v>885</v>
      </c>
      <c r="D418" s="180"/>
      <c r="E418" s="340" t="s">
        <v>886</v>
      </c>
      <c r="F418" s="340"/>
      <c r="G418" s="765">
        <v>2025</v>
      </c>
      <c r="H418" s="565">
        <v>2030</v>
      </c>
      <c r="I418" s="83">
        <v>0</v>
      </c>
      <c r="J418" s="83">
        <v>0</v>
      </c>
      <c r="K418" s="264">
        <f t="shared" si="721"/>
        <v>0</v>
      </c>
      <c r="L418" s="83">
        <v>808170</v>
      </c>
      <c r="M418" s="83">
        <v>0</v>
      </c>
      <c r="N418" s="264">
        <f t="shared" si="722"/>
        <v>808170</v>
      </c>
      <c r="O418" s="83">
        <v>808170</v>
      </c>
      <c r="P418" s="83">
        <v>0</v>
      </c>
      <c r="Q418" s="264">
        <f t="shared" si="723"/>
        <v>808170</v>
      </c>
      <c r="R418" s="83">
        <v>808170</v>
      </c>
      <c r="S418" s="83">
        <v>0</v>
      </c>
      <c r="T418" s="264">
        <f t="shared" si="724"/>
        <v>808170</v>
      </c>
      <c r="U418" s="83">
        <v>808170</v>
      </c>
      <c r="V418" s="83">
        <v>0</v>
      </c>
      <c r="W418" s="264">
        <f t="shared" si="725"/>
        <v>808170</v>
      </c>
      <c r="X418" s="83">
        <v>808170</v>
      </c>
      <c r="Y418" s="83">
        <v>0</v>
      </c>
      <c r="Z418" s="264">
        <f t="shared" si="726"/>
        <v>808170</v>
      </c>
      <c r="AA418" s="83">
        <v>808170</v>
      </c>
      <c r="AB418" s="83">
        <v>0</v>
      </c>
      <c r="AC418" s="264">
        <f t="shared" si="727"/>
        <v>808170</v>
      </c>
      <c r="AD418" s="83">
        <f t="shared" si="717"/>
        <v>4849020</v>
      </c>
      <c r="AE418" s="83">
        <f t="shared" si="718"/>
        <v>0</v>
      </c>
      <c r="AF418" s="264">
        <f t="shared" si="728"/>
        <v>4849020</v>
      </c>
      <c r="AG418" s="83">
        <f>808170*2</f>
        <v>1616340</v>
      </c>
      <c r="AH418" s="83">
        <v>0</v>
      </c>
      <c r="AI418" s="264">
        <f t="shared" si="729"/>
        <v>1616340</v>
      </c>
      <c r="AJ418" s="83">
        <v>0</v>
      </c>
      <c r="AK418" s="83">
        <v>0</v>
      </c>
      <c r="AL418" s="83"/>
      <c r="AM418" s="264">
        <f t="shared" si="719"/>
        <v>0</v>
      </c>
      <c r="AN418" s="83">
        <f>808170*4</f>
        <v>3232680</v>
      </c>
      <c r="AO418" s="83"/>
      <c r="AP418" s="264">
        <f t="shared" si="730"/>
        <v>3232680</v>
      </c>
      <c r="AQ418" s="578">
        <f t="shared" si="720"/>
        <v>0</v>
      </c>
      <c r="AR418" s="47"/>
    </row>
    <row r="419" spans="2:44" ht="49.15" customHeight="1">
      <c r="B419" s="210" t="s">
        <v>887</v>
      </c>
      <c r="C419" s="747" t="s">
        <v>893</v>
      </c>
      <c r="D419" s="217"/>
      <c r="E419" s="398" t="s">
        <v>370</v>
      </c>
      <c r="F419" s="398" t="s">
        <v>871</v>
      </c>
      <c r="G419" s="580">
        <v>2024</v>
      </c>
      <c r="H419" s="580">
        <v>2025</v>
      </c>
      <c r="I419" s="197">
        <f>SUM(I420)</f>
        <v>1800000</v>
      </c>
      <c r="J419" s="197">
        <f>SUM(J420)</f>
        <v>0</v>
      </c>
      <c r="K419" s="197">
        <f>I419+J419</f>
        <v>1800000</v>
      </c>
      <c r="L419" s="197">
        <f>SUM(L420)</f>
        <v>1800000</v>
      </c>
      <c r="M419" s="197">
        <f t="shared" ref="M419" si="731">SUM(M420)</f>
        <v>0</v>
      </c>
      <c r="N419" s="197">
        <f>L419+M419</f>
        <v>1800000</v>
      </c>
      <c r="O419" s="197">
        <f t="shared" ref="O419:P419" si="732">SUM(O420)</f>
        <v>0</v>
      </c>
      <c r="P419" s="197">
        <f t="shared" si="732"/>
        <v>0</v>
      </c>
      <c r="Q419" s="197">
        <f>O419+P419</f>
        <v>0</v>
      </c>
      <c r="R419" s="197">
        <f t="shared" ref="R419:S419" si="733">SUM(R420)</f>
        <v>0</v>
      </c>
      <c r="S419" s="197">
        <f t="shared" si="733"/>
        <v>0</v>
      </c>
      <c r="T419" s="197">
        <f>R419+S419</f>
        <v>0</v>
      </c>
      <c r="U419" s="197">
        <f>SUM(U420)</f>
        <v>0</v>
      </c>
      <c r="V419" s="197">
        <f>SUM(V420)</f>
        <v>0</v>
      </c>
      <c r="W419" s="197">
        <f>U419+V419</f>
        <v>0</v>
      </c>
      <c r="X419" s="197">
        <f>SUM(X420)</f>
        <v>0</v>
      </c>
      <c r="Y419" s="197">
        <f>SUM(Y420)</f>
        <v>0</v>
      </c>
      <c r="Z419" s="197">
        <f>SUM(X419:Y419)</f>
        <v>0</v>
      </c>
      <c r="AA419" s="197">
        <f>SUM(AA420)</f>
        <v>0</v>
      </c>
      <c r="AB419" s="197">
        <f>SUM(AB420:AB424)</f>
        <v>0</v>
      </c>
      <c r="AC419" s="197">
        <f>SUM(AA419:AB419)</f>
        <v>0</v>
      </c>
      <c r="AD419" s="197">
        <f t="shared" ref="AD419:AE424" si="734">I419+L419+O419+R419+U419+X419+AA419</f>
        <v>3600000</v>
      </c>
      <c r="AE419" s="197">
        <f t="shared" ref="AE419:AE421" si="735">J419+M419+P419+S419+V419+Y419+AB419</f>
        <v>0</v>
      </c>
      <c r="AF419" s="197">
        <f>AD419+AE419</f>
        <v>3600000</v>
      </c>
      <c r="AG419" s="197">
        <f>SUM(AG420)</f>
        <v>3600000</v>
      </c>
      <c r="AH419" s="197">
        <f>SUM(AH420)</f>
        <v>0</v>
      </c>
      <c r="AI419" s="197">
        <f>AG419+AH419</f>
        <v>3600000</v>
      </c>
      <c r="AJ419" s="197">
        <f>SUM(AJ420)</f>
        <v>0</v>
      </c>
      <c r="AK419" s="197">
        <f>SUM(AK420)</f>
        <v>0</v>
      </c>
      <c r="AL419" s="197"/>
      <c r="AM419" s="197">
        <f t="shared" ref="AM419:AM424" si="736">AJ419+AK419</f>
        <v>0</v>
      </c>
      <c r="AN419" s="197">
        <f>SUM(AN420)</f>
        <v>0</v>
      </c>
      <c r="AO419" s="197">
        <f>SUM(AO420)</f>
        <v>0</v>
      </c>
      <c r="AP419" s="197">
        <f>AN419+AO419</f>
        <v>0</v>
      </c>
      <c r="AQ419" s="577">
        <f t="shared" ref="AQ419:AQ424" si="737">SUM(AP419+AM419+AI419)-AF419</f>
        <v>0</v>
      </c>
      <c r="AR419" s="47"/>
    </row>
    <row r="420" spans="2:44" ht="54" customHeight="1">
      <c r="B420" s="35" t="s">
        <v>888</v>
      </c>
      <c r="C420" s="376" t="s">
        <v>894</v>
      </c>
      <c r="D420" s="92"/>
      <c r="E420" s="330" t="s">
        <v>370</v>
      </c>
      <c r="F420" s="330" t="s">
        <v>871</v>
      </c>
      <c r="G420" s="553">
        <v>2024</v>
      </c>
      <c r="H420" s="553">
        <v>2025</v>
      </c>
      <c r="I420" s="83">
        <v>1800000</v>
      </c>
      <c r="J420" s="83">
        <v>0</v>
      </c>
      <c r="K420" s="264">
        <f t="shared" ref="K420" si="738">SUM(I420:J420)</f>
        <v>1800000</v>
      </c>
      <c r="L420" s="83">
        <v>1800000</v>
      </c>
      <c r="M420" s="83">
        <v>0</v>
      </c>
      <c r="N420" s="264">
        <f t="shared" ref="N420" si="739">SUM(L420:M420)</f>
        <v>1800000</v>
      </c>
      <c r="O420" s="83">
        <v>0</v>
      </c>
      <c r="P420" s="83">
        <v>0</v>
      </c>
      <c r="Q420" s="264">
        <f t="shared" ref="Q420" si="740">SUM(O420:P420)</f>
        <v>0</v>
      </c>
      <c r="R420" s="83">
        <v>0</v>
      </c>
      <c r="S420" s="83">
        <v>0</v>
      </c>
      <c r="T420" s="264">
        <f t="shared" ref="T420" si="741">SUM(R420:S420)</f>
        <v>0</v>
      </c>
      <c r="U420" s="83">
        <v>0</v>
      </c>
      <c r="V420" s="83">
        <v>0</v>
      </c>
      <c r="W420" s="264">
        <f t="shared" ref="W420" si="742">SUM(U420:V420)</f>
        <v>0</v>
      </c>
      <c r="X420" s="83">
        <v>0</v>
      </c>
      <c r="Y420" s="83">
        <v>0</v>
      </c>
      <c r="Z420" s="264">
        <f t="shared" ref="Z420" si="743">SUM(X420:Y420)</f>
        <v>0</v>
      </c>
      <c r="AA420" s="83">
        <v>0</v>
      </c>
      <c r="AB420" s="83">
        <v>0</v>
      </c>
      <c r="AC420" s="264">
        <f t="shared" ref="AC420" si="744">SUM(AA420:AB420)</f>
        <v>0</v>
      </c>
      <c r="AD420" s="83">
        <f t="shared" si="734"/>
        <v>3600000</v>
      </c>
      <c r="AE420" s="83">
        <f t="shared" si="735"/>
        <v>0</v>
      </c>
      <c r="AF420" s="264">
        <f t="shared" ref="AF420" si="745">AD420+AE420</f>
        <v>3600000</v>
      </c>
      <c r="AG420" s="83">
        <v>3600000</v>
      </c>
      <c r="AH420" s="83">
        <v>0</v>
      </c>
      <c r="AI420" s="264">
        <f>SUM(AG420)</f>
        <v>3600000</v>
      </c>
      <c r="AJ420" s="83">
        <v>0</v>
      </c>
      <c r="AK420" s="83">
        <v>0</v>
      </c>
      <c r="AL420" s="83"/>
      <c r="AM420" s="264">
        <f t="shared" si="736"/>
        <v>0</v>
      </c>
      <c r="AN420" s="83">
        <v>0</v>
      </c>
      <c r="AO420" s="83">
        <v>0</v>
      </c>
      <c r="AP420" s="264">
        <f t="shared" ref="AP420" si="746">SUM(AN420:AO420)</f>
        <v>0</v>
      </c>
      <c r="AQ420" s="578">
        <f t="shared" si="737"/>
        <v>0</v>
      </c>
      <c r="AR420" s="47"/>
    </row>
    <row r="421" spans="2:44" ht="57.6" customHeight="1">
      <c r="B421" s="210" t="s">
        <v>889</v>
      </c>
      <c r="C421" s="581" t="s">
        <v>895</v>
      </c>
      <c r="D421" s="217"/>
      <c r="E421" s="398" t="s">
        <v>900</v>
      </c>
      <c r="F421" s="398" t="s">
        <v>871</v>
      </c>
      <c r="G421" s="580">
        <v>2024</v>
      </c>
      <c r="H421" s="580">
        <v>2030</v>
      </c>
      <c r="I421" s="197">
        <f>SUM(I422:I424)</f>
        <v>1086710</v>
      </c>
      <c r="J421" s="197">
        <f>SUM(J422:J424)</f>
        <v>0</v>
      </c>
      <c r="K421" s="197">
        <f>I421+J421</f>
        <v>1086710</v>
      </c>
      <c r="L421" s="197">
        <f>SUM(L422:L424)</f>
        <v>1086710</v>
      </c>
      <c r="M421" s="197">
        <f>SUM(M422:M424)</f>
        <v>0</v>
      </c>
      <c r="N421" s="197">
        <f>L421+M421</f>
        <v>1086710</v>
      </c>
      <c r="O421" s="197">
        <f>SUM(O422:O424)</f>
        <v>2173420</v>
      </c>
      <c r="P421" s="197">
        <f>SUM(P422:P424)</f>
        <v>0</v>
      </c>
      <c r="Q421" s="197">
        <f>O421+P421</f>
        <v>2173420</v>
      </c>
      <c r="R421" s="197">
        <f>SUM(R422:R424)</f>
        <v>0</v>
      </c>
      <c r="S421" s="197">
        <f>SUM(S422:S424)</f>
        <v>0</v>
      </c>
      <c r="T421" s="197">
        <f>R421+S421</f>
        <v>0</v>
      </c>
      <c r="U421" s="197">
        <f>SUM(U422:U424)</f>
        <v>2173420</v>
      </c>
      <c r="V421" s="197">
        <f>SUM(V422:V424)</f>
        <v>0</v>
      </c>
      <c r="W421" s="197">
        <f>U421+V421</f>
        <v>2173420</v>
      </c>
      <c r="X421" s="197">
        <f>SUM(X422:X424)</f>
        <v>0</v>
      </c>
      <c r="Y421" s="197">
        <f>SUM(Y422:Y424)</f>
        <v>0</v>
      </c>
      <c r="Z421" s="197">
        <f>SUM(X421:Y421)</f>
        <v>0</v>
      </c>
      <c r="AA421" s="197">
        <f>SUM(AA422:AA424)</f>
        <v>0</v>
      </c>
      <c r="AB421" s="197">
        <f>SUM(AB422:AB424)</f>
        <v>0</v>
      </c>
      <c r="AC421" s="197">
        <f>SUM(AA421:AB421)</f>
        <v>0</v>
      </c>
      <c r="AD421" s="197">
        <f t="shared" si="734"/>
        <v>6520260</v>
      </c>
      <c r="AE421" s="197">
        <f t="shared" si="735"/>
        <v>0</v>
      </c>
      <c r="AF421" s="197">
        <f>AD421+AE421</f>
        <v>6520260</v>
      </c>
      <c r="AG421" s="197">
        <f>SUM(AG422:AG424)</f>
        <v>4346840</v>
      </c>
      <c r="AH421" s="197">
        <f>SUM(AH422:AH424)</f>
        <v>0</v>
      </c>
      <c r="AI421" s="197">
        <f>AG421+AH421</f>
        <v>4346840</v>
      </c>
      <c r="AJ421" s="197">
        <f>SUM(AJ422:AJ424)</f>
        <v>0</v>
      </c>
      <c r="AK421" s="197">
        <f>SUM(AK422:AK424)</f>
        <v>0</v>
      </c>
      <c r="AL421" s="197"/>
      <c r="AM421" s="197">
        <f t="shared" si="736"/>
        <v>0</v>
      </c>
      <c r="AN421" s="197">
        <f>SUM(AN422:AN424)</f>
        <v>2173420</v>
      </c>
      <c r="AO421" s="197">
        <f>SUM(AO422:AO424)</f>
        <v>0</v>
      </c>
      <c r="AP421" s="197">
        <f>AN421+AO421</f>
        <v>2173420</v>
      </c>
      <c r="AQ421" s="577">
        <f t="shared" si="737"/>
        <v>0</v>
      </c>
      <c r="AR421" s="47"/>
    </row>
    <row r="422" spans="2:44" ht="39.6" customHeight="1">
      <c r="B422" s="87" t="s">
        <v>890</v>
      </c>
      <c r="C422" s="337" t="s">
        <v>896</v>
      </c>
      <c r="D422" s="599"/>
      <c r="E422" s="339" t="s">
        <v>612</v>
      </c>
      <c r="F422" s="584" t="s">
        <v>871</v>
      </c>
      <c r="G422" s="592">
        <v>2024</v>
      </c>
      <c r="H422" s="592">
        <v>2025</v>
      </c>
      <c r="I422" s="83">
        <v>0</v>
      </c>
      <c r="J422" s="83">
        <v>0</v>
      </c>
      <c r="K422" s="264">
        <f t="shared" ref="K422:K424" si="747">SUM(I422:J422)</f>
        <v>0</v>
      </c>
      <c r="L422" s="83">
        <v>0</v>
      </c>
      <c r="M422" s="83">
        <v>0</v>
      </c>
      <c r="N422" s="264">
        <f t="shared" ref="N422:N424" si="748">SUM(L422:M422)</f>
        <v>0</v>
      </c>
      <c r="O422" s="83">
        <v>0</v>
      </c>
      <c r="P422" s="83">
        <v>0</v>
      </c>
      <c r="Q422" s="264">
        <f t="shared" ref="Q422:Q424" si="749">SUM(O422:P422)</f>
        <v>0</v>
      </c>
      <c r="R422" s="83">
        <v>0</v>
      </c>
      <c r="S422" s="83">
        <v>0</v>
      </c>
      <c r="T422" s="264">
        <f t="shared" ref="T422:T424" si="750">SUM(R422:S422)</f>
        <v>0</v>
      </c>
      <c r="U422" s="83">
        <v>0</v>
      </c>
      <c r="V422" s="83">
        <v>0</v>
      </c>
      <c r="W422" s="264">
        <f t="shared" ref="W422:W424" si="751">SUM(U422:V422)</f>
        <v>0</v>
      </c>
      <c r="X422" s="83">
        <v>0</v>
      </c>
      <c r="Y422" s="83">
        <v>0</v>
      </c>
      <c r="Z422" s="264">
        <f t="shared" ref="Z422:Z424" si="752">SUM(X422:Y422)</f>
        <v>0</v>
      </c>
      <c r="AA422" s="83">
        <v>0</v>
      </c>
      <c r="AB422" s="83">
        <v>0</v>
      </c>
      <c r="AC422" s="264">
        <f t="shared" ref="AC422:AC424" si="753">SUM(AA422:AB422)</f>
        <v>0</v>
      </c>
      <c r="AD422" s="83">
        <f t="shared" si="734"/>
        <v>0</v>
      </c>
      <c r="AE422" s="83">
        <f t="shared" si="734"/>
        <v>0</v>
      </c>
      <c r="AF422" s="264">
        <f t="shared" ref="AF422:AF424" si="754">AD422+AE422</f>
        <v>0</v>
      </c>
      <c r="AG422" s="83">
        <v>0</v>
      </c>
      <c r="AH422" s="83">
        <v>0</v>
      </c>
      <c r="AI422" s="264">
        <f t="shared" ref="AI422:AI424" si="755">SUM(AG422:AH422)</f>
        <v>0</v>
      </c>
      <c r="AJ422" s="83">
        <v>0</v>
      </c>
      <c r="AK422" s="83">
        <v>0</v>
      </c>
      <c r="AL422" s="83"/>
      <c r="AM422" s="264">
        <f t="shared" si="736"/>
        <v>0</v>
      </c>
      <c r="AN422" s="83">
        <v>0</v>
      </c>
      <c r="AO422" s="83">
        <v>0</v>
      </c>
      <c r="AP422" s="264">
        <f t="shared" ref="AP422:AP424" si="756">SUM(AN422:AO422)</f>
        <v>0</v>
      </c>
      <c r="AQ422" s="578">
        <f t="shared" si="737"/>
        <v>0</v>
      </c>
      <c r="AR422" s="47"/>
    </row>
    <row r="423" spans="2:44" ht="46.9" customHeight="1">
      <c r="B423" s="35" t="s">
        <v>891</v>
      </c>
      <c r="C423" s="327" t="s">
        <v>897</v>
      </c>
      <c r="D423" s="92"/>
      <c r="E423" s="330" t="s">
        <v>612</v>
      </c>
      <c r="F423" s="457" t="s">
        <v>871</v>
      </c>
      <c r="G423" s="592">
        <v>2024</v>
      </c>
      <c r="H423" s="592">
        <v>2025</v>
      </c>
      <c r="I423" s="83">
        <v>1086710</v>
      </c>
      <c r="J423" s="83">
        <v>0</v>
      </c>
      <c r="K423" s="264">
        <f t="shared" si="747"/>
        <v>1086710</v>
      </c>
      <c r="L423" s="83">
        <v>1086710</v>
      </c>
      <c r="M423" s="83">
        <v>0</v>
      </c>
      <c r="N423" s="264">
        <f t="shared" si="748"/>
        <v>1086710</v>
      </c>
      <c r="O423" s="83">
        <v>0</v>
      </c>
      <c r="P423" s="83">
        <v>0</v>
      </c>
      <c r="Q423" s="264">
        <f t="shared" si="749"/>
        <v>0</v>
      </c>
      <c r="R423" s="83">
        <v>0</v>
      </c>
      <c r="S423" s="83">
        <v>0</v>
      </c>
      <c r="T423" s="264">
        <f t="shared" si="750"/>
        <v>0</v>
      </c>
      <c r="U423" s="83">
        <v>0</v>
      </c>
      <c r="V423" s="83">
        <v>0</v>
      </c>
      <c r="W423" s="264">
        <f t="shared" si="751"/>
        <v>0</v>
      </c>
      <c r="X423" s="83">
        <v>0</v>
      </c>
      <c r="Y423" s="83">
        <v>0</v>
      </c>
      <c r="Z423" s="264">
        <f t="shared" si="752"/>
        <v>0</v>
      </c>
      <c r="AA423" s="83">
        <v>0</v>
      </c>
      <c r="AB423" s="83">
        <v>0</v>
      </c>
      <c r="AC423" s="264">
        <f t="shared" si="753"/>
        <v>0</v>
      </c>
      <c r="AD423" s="83">
        <f t="shared" si="734"/>
        <v>2173420</v>
      </c>
      <c r="AE423" s="83">
        <f t="shared" si="734"/>
        <v>0</v>
      </c>
      <c r="AF423" s="264">
        <f t="shared" si="754"/>
        <v>2173420</v>
      </c>
      <c r="AG423" s="83">
        <v>2173420</v>
      </c>
      <c r="AH423" s="83">
        <v>0</v>
      </c>
      <c r="AI423" s="264">
        <f t="shared" si="755"/>
        <v>2173420</v>
      </c>
      <c r="AJ423" s="83">
        <v>0</v>
      </c>
      <c r="AK423" s="83">
        <v>0</v>
      </c>
      <c r="AL423" s="83"/>
      <c r="AM423" s="264">
        <f t="shared" si="736"/>
        <v>0</v>
      </c>
      <c r="AN423" s="83">
        <v>0</v>
      </c>
      <c r="AO423" s="83">
        <v>0</v>
      </c>
      <c r="AP423" s="264">
        <f t="shared" si="756"/>
        <v>0</v>
      </c>
      <c r="AQ423" s="578">
        <f t="shared" si="737"/>
        <v>0</v>
      </c>
      <c r="AR423" s="47"/>
    </row>
    <row r="424" spans="2:44" ht="46.9" customHeight="1" thickBot="1">
      <c r="B424" s="88" t="s">
        <v>892</v>
      </c>
      <c r="C424" s="338" t="s">
        <v>898</v>
      </c>
      <c r="D424" s="180"/>
      <c r="E424" s="340" t="s">
        <v>899</v>
      </c>
      <c r="F424" s="561"/>
      <c r="G424" s="593" t="s">
        <v>902</v>
      </c>
      <c r="H424" s="593" t="s">
        <v>902</v>
      </c>
      <c r="I424" s="586">
        <v>0</v>
      </c>
      <c r="J424" s="586">
        <v>0</v>
      </c>
      <c r="K424" s="270">
        <f t="shared" si="747"/>
        <v>0</v>
      </c>
      <c r="L424" s="586">
        <v>0</v>
      </c>
      <c r="M424" s="586">
        <v>0</v>
      </c>
      <c r="N424" s="270">
        <f t="shared" si="748"/>
        <v>0</v>
      </c>
      <c r="O424" s="586">
        <v>2173420</v>
      </c>
      <c r="P424" s="586">
        <v>0</v>
      </c>
      <c r="Q424" s="270">
        <f t="shared" si="749"/>
        <v>2173420</v>
      </c>
      <c r="R424" s="586">
        <v>0</v>
      </c>
      <c r="S424" s="586">
        <v>0</v>
      </c>
      <c r="T424" s="270">
        <f t="shared" si="750"/>
        <v>0</v>
      </c>
      <c r="U424" s="586">
        <v>2173420</v>
      </c>
      <c r="V424" s="586">
        <v>0</v>
      </c>
      <c r="W424" s="270">
        <f t="shared" si="751"/>
        <v>2173420</v>
      </c>
      <c r="X424" s="586">
        <v>0</v>
      </c>
      <c r="Y424" s="586">
        <v>0</v>
      </c>
      <c r="Z424" s="270">
        <f t="shared" si="752"/>
        <v>0</v>
      </c>
      <c r="AA424" s="586">
        <v>0</v>
      </c>
      <c r="AB424" s="586">
        <v>0</v>
      </c>
      <c r="AC424" s="270">
        <f t="shared" si="753"/>
        <v>0</v>
      </c>
      <c r="AD424" s="586">
        <f t="shared" si="734"/>
        <v>4346840</v>
      </c>
      <c r="AE424" s="586">
        <f t="shared" si="734"/>
        <v>0</v>
      </c>
      <c r="AF424" s="270">
        <f t="shared" si="754"/>
        <v>4346840</v>
      </c>
      <c r="AG424" s="586">
        <v>2173420</v>
      </c>
      <c r="AH424" s="586">
        <v>0</v>
      </c>
      <c r="AI424" s="270">
        <f t="shared" si="755"/>
        <v>2173420</v>
      </c>
      <c r="AJ424" s="586">
        <v>0</v>
      </c>
      <c r="AK424" s="586">
        <v>0</v>
      </c>
      <c r="AL424" s="586"/>
      <c r="AM424" s="270">
        <f t="shared" si="736"/>
        <v>0</v>
      </c>
      <c r="AN424" s="586">
        <v>2173420</v>
      </c>
      <c r="AO424" s="586">
        <v>0</v>
      </c>
      <c r="AP424" s="270">
        <f t="shared" si="756"/>
        <v>2173420</v>
      </c>
      <c r="AQ424" s="587">
        <f t="shared" si="737"/>
        <v>0</v>
      </c>
      <c r="AR424" s="47"/>
    </row>
    <row r="425" spans="2:44" ht="36" customHeight="1">
      <c r="B425" s="185"/>
      <c r="C425" s="588" t="s">
        <v>901</v>
      </c>
      <c r="D425" s="237"/>
      <c r="E425" s="589"/>
      <c r="F425" s="589"/>
      <c r="G425" s="590"/>
      <c r="H425" s="590"/>
      <c r="I425" s="484">
        <f>SUM(I402,I413,I419,I421)</f>
        <v>8381590</v>
      </c>
      <c r="J425" s="484">
        <f t="shared" ref="J425:AK425" si="757">SUM(J402,J413,J419,J421)</f>
        <v>0</v>
      </c>
      <c r="K425" s="484">
        <f t="shared" si="757"/>
        <v>8381590</v>
      </c>
      <c r="L425" s="484">
        <f t="shared" si="757"/>
        <v>9436470</v>
      </c>
      <c r="M425" s="484">
        <f t="shared" si="757"/>
        <v>9000000</v>
      </c>
      <c r="N425" s="484">
        <f t="shared" si="757"/>
        <v>18436470</v>
      </c>
      <c r="O425" s="484">
        <f t="shared" si="757"/>
        <v>7636470</v>
      </c>
      <c r="P425" s="484">
        <f t="shared" si="757"/>
        <v>0</v>
      </c>
      <c r="Q425" s="484">
        <f t="shared" si="757"/>
        <v>7636470</v>
      </c>
      <c r="R425" s="484">
        <f t="shared" si="757"/>
        <v>5463050</v>
      </c>
      <c r="S425" s="484">
        <f t="shared" si="757"/>
        <v>0</v>
      </c>
      <c r="T425" s="484">
        <f t="shared" si="757"/>
        <v>5463050</v>
      </c>
      <c r="U425" s="484">
        <f t="shared" si="757"/>
        <v>7636470</v>
      </c>
      <c r="V425" s="484">
        <f t="shared" si="757"/>
        <v>0</v>
      </c>
      <c r="W425" s="484">
        <f t="shared" si="757"/>
        <v>7636470</v>
      </c>
      <c r="X425" s="484">
        <f t="shared" si="757"/>
        <v>5463050</v>
      </c>
      <c r="Y425" s="484">
        <f t="shared" si="757"/>
        <v>0</v>
      </c>
      <c r="Z425" s="484">
        <f t="shared" si="757"/>
        <v>5463050</v>
      </c>
      <c r="AA425" s="484">
        <f t="shared" si="757"/>
        <v>5463050</v>
      </c>
      <c r="AB425" s="484">
        <f t="shared" si="757"/>
        <v>0</v>
      </c>
      <c r="AC425" s="484">
        <f t="shared" si="757"/>
        <v>5463050</v>
      </c>
      <c r="AD425" s="484">
        <f t="shared" si="757"/>
        <v>49480150</v>
      </c>
      <c r="AE425" s="484">
        <f t="shared" si="757"/>
        <v>9000000</v>
      </c>
      <c r="AF425" s="484">
        <f t="shared" si="757"/>
        <v>58480150</v>
      </c>
      <c r="AG425" s="484">
        <f t="shared" si="757"/>
        <v>18494530</v>
      </c>
      <c r="AH425" s="484">
        <f t="shared" si="757"/>
        <v>0</v>
      </c>
      <c r="AI425" s="484">
        <f t="shared" si="757"/>
        <v>18494530</v>
      </c>
      <c r="AJ425" s="484">
        <f t="shared" si="757"/>
        <v>0</v>
      </c>
      <c r="AK425" s="484">
        <f t="shared" si="757"/>
        <v>0</v>
      </c>
      <c r="AL425" s="484"/>
      <c r="AM425" s="484">
        <f t="shared" ref="AM425:AQ425" si="758">SUM(AM402,AM413,AM419,AM421)</f>
        <v>0</v>
      </c>
      <c r="AN425" s="484">
        <f t="shared" si="758"/>
        <v>15385620</v>
      </c>
      <c r="AO425" s="484">
        <f t="shared" si="758"/>
        <v>0</v>
      </c>
      <c r="AP425" s="484">
        <f t="shared" si="758"/>
        <v>15385620</v>
      </c>
      <c r="AQ425" s="591">
        <f t="shared" si="758"/>
        <v>-24600000</v>
      </c>
      <c r="AR425" s="47"/>
    </row>
    <row r="426" spans="2:44" s="4" customFormat="1" ht="79.150000000000006" customHeight="1">
      <c r="B426" s="100">
        <v>3.5</v>
      </c>
      <c r="C426" s="123" t="s">
        <v>904</v>
      </c>
      <c r="D426" s="124"/>
      <c r="E426" s="125"/>
      <c r="F426" s="125"/>
      <c r="G426" s="125"/>
      <c r="H426" s="125"/>
      <c r="I426" s="126"/>
      <c r="J426" s="126"/>
      <c r="K426" s="126"/>
      <c r="L426" s="126"/>
      <c r="M426" s="126"/>
      <c r="N426" s="126"/>
      <c r="O426" s="126"/>
      <c r="P426" s="126"/>
      <c r="Q426" s="126"/>
      <c r="R426" s="126"/>
      <c r="S426" s="126"/>
      <c r="T426" s="126"/>
      <c r="U426" s="126"/>
      <c r="V426" s="126"/>
      <c r="W426" s="126"/>
      <c r="X426" s="126"/>
      <c r="Y426" s="126"/>
      <c r="Z426" s="126"/>
      <c r="AA426" s="126"/>
      <c r="AB426" s="126"/>
      <c r="AC426" s="126"/>
      <c r="AD426" s="126"/>
      <c r="AE426" s="126"/>
      <c r="AF426" s="126"/>
      <c r="AG426" s="126"/>
      <c r="AH426" s="126"/>
      <c r="AI426" s="126"/>
      <c r="AJ426" s="126"/>
      <c r="AK426" s="126"/>
      <c r="AL426" s="126"/>
      <c r="AM426" s="126"/>
      <c r="AN426" s="126"/>
      <c r="AO426" s="126"/>
      <c r="AP426" s="126"/>
      <c r="AQ426" s="127"/>
      <c r="AR426" s="48"/>
    </row>
    <row r="427" spans="2:44" ht="36" customHeight="1">
      <c r="B427" s="61"/>
      <c r="C427" s="62" t="s">
        <v>68</v>
      </c>
      <c r="D427" s="92"/>
      <c r="E427" s="93"/>
      <c r="F427" s="93"/>
      <c r="G427" s="93"/>
      <c r="H427" s="93"/>
      <c r="I427" s="83"/>
      <c r="J427" s="83"/>
      <c r="K427" s="83"/>
      <c r="L427" s="83"/>
      <c r="M427" s="83"/>
      <c r="N427" s="83"/>
      <c r="O427" s="83"/>
      <c r="P427" s="83"/>
      <c r="Q427" s="83"/>
      <c r="R427" s="83"/>
      <c r="S427" s="83"/>
      <c r="T427" s="83"/>
      <c r="U427" s="83"/>
      <c r="V427" s="83"/>
      <c r="W427" s="83"/>
      <c r="X427" s="83"/>
      <c r="Y427" s="83"/>
      <c r="Z427" s="83"/>
      <c r="AA427" s="83"/>
      <c r="AB427" s="83"/>
      <c r="AC427" s="83"/>
      <c r="AD427" s="83"/>
      <c r="AE427" s="83"/>
      <c r="AF427" s="83"/>
      <c r="AG427" s="83"/>
      <c r="AH427" s="83"/>
      <c r="AI427" s="83"/>
      <c r="AJ427" s="83"/>
      <c r="AK427" s="83"/>
      <c r="AL427" s="83"/>
      <c r="AM427" s="83"/>
      <c r="AN427" s="83"/>
      <c r="AO427" s="83"/>
      <c r="AP427" s="83"/>
      <c r="AQ427" s="112"/>
      <c r="AR427" s="47"/>
    </row>
    <row r="428" spans="2:44" ht="36" customHeight="1">
      <c r="B428" s="414" t="s">
        <v>905</v>
      </c>
      <c r="C428" s="571" t="s">
        <v>914</v>
      </c>
      <c r="D428" s="217"/>
      <c r="E428" s="570" t="s">
        <v>828</v>
      </c>
      <c r="F428" s="570"/>
      <c r="G428" s="570">
        <v>2024</v>
      </c>
      <c r="H428" s="570">
        <v>2030</v>
      </c>
      <c r="I428" s="197">
        <f>SUM(I429:I435)</f>
        <v>0</v>
      </c>
      <c r="J428" s="197">
        <f>SUM(J429:J435)</f>
        <v>100000000</v>
      </c>
      <c r="K428" s="197">
        <f>I428+J428</f>
        <v>100000000</v>
      </c>
      <c r="L428" s="197">
        <f>SUM(L429:L435)</f>
        <v>9260130</v>
      </c>
      <c r="M428" s="197">
        <f>SUM(M429:M435)</f>
        <v>178556000</v>
      </c>
      <c r="N428" s="197">
        <f>L428+M428</f>
        <v>187816130</v>
      </c>
      <c r="O428" s="197">
        <f>SUM(O429:O435)</f>
        <v>10346840</v>
      </c>
      <c r="P428" s="197">
        <f>SUM(P429:P435)</f>
        <v>10000000</v>
      </c>
      <c r="Q428" s="197">
        <f>O428+P428</f>
        <v>20346840</v>
      </c>
      <c r="R428" s="226">
        <f>SUM(R429:R435)</f>
        <v>7086710</v>
      </c>
      <c r="S428" s="226">
        <f>SUM(S429:S435)</f>
        <v>0</v>
      </c>
      <c r="T428" s="214">
        <f>R428+S428</f>
        <v>7086710</v>
      </c>
      <c r="U428" s="214">
        <f>SUM(U429:U435)</f>
        <v>7086710</v>
      </c>
      <c r="V428" s="214">
        <f>SUM(V429:V435)</f>
        <v>0</v>
      </c>
      <c r="W428" s="226">
        <f>U428+V428</f>
        <v>7086710</v>
      </c>
      <c r="X428" s="197">
        <f>SUM(X429:X435)</f>
        <v>7086710</v>
      </c>
      <c r="Y428" s="197">
        <f>SUM(Y429:Y435)</f>
        <v>0</v>
      </c>
      <c r="Z428" s="197">
        <f>SUM(X428:Y428)</f>
        <v>7086710</v>
      </c>
      <c r="AA428" s="197">
        <f>SUM(AA429:AA435)</f>
        <v>7086710</v>
      </c>
      <c r="AB428" s="197">
        <f>SUM(AB429:AB435)</f>
        <v>0</v>
      </c>
      <c r="AC428" s="197">
        <f>SUM(AA428:AB428)</f>
        <v>7086710</v>
      </c>
      <c r="AD428" s="214">
        <f t="shared" ref="AD428:AD435" si="759">I428+L428+O428+R428+U428+X428+AA428</f>
        <v>47953810</v>
      </c>
      <c r="AE428" s="214">
        <f t="shared" ref="AE428:AE435" si="760">J428+M428+P428+S428+V428+Y428+AB428</f>
        <v>288556000</v>
      </c>
      <c r="AF428" s="214">
        <f>AD428+AE428</f>
        <v>336509810</v>
      </c>
      <c r="AG428" s="214">
        <f>SUM(AG429:AG435)</f>
        <v>7606970</v>
      </c>
      <c r="AH428" s="214">
        <f>SUM(AH429:AH435)</f>
        <v>278556000</v>
      </c>
      <c r="AI428" s="214">
        <f>AG428+AH428</f>
        <v>286162970</v>
      </c>
      <c r="AJ428" s="214">
        <f>SUM(AJ429:AJ435)</f>
        <v>0</v>
      </c>
      <c r="AK428" s="214">
        <f>SUM(AK429:AK435)</f>
        <v>0</v>
      </c>
      <c r="AL428" s="214"/>
      <c r="AM428" s="214">
        <f t="shared" ref="AM428:AM435" si="761">AJ428+AK428</f>
        <v>0</v>
      </c>
      <c r="AN428" s="214">
        <f>SUM(AN429:AN435)</f>
        <v>4346840</v>
      </c>
      <c r="AO428" s="214">
        <f>SUM(AO429:AO435)</f>
        <v>0</v>
      </c>
      <c r="AP428" s="214">
        <f>AN428+AO428</f>
        <v>4346840</v>
      </c>
      <c r="AQ428" s="576">
        <f t="shared" ref="AQ428:AQ438" si="762">SUM(AP428+AM428+AI428)-AF428</f>
        <v>-46000000</v>
      </c>
      <c r="AR428" s="47"/>
    </row>
    <row r="429" spans="2:44" ht="36" customHeight="1">
      <c r="B429" s="35" t="s">
        <v>907</v>
      </c>
      <c r="C429" s="554" t="s">
        <v>915</v>
      </c>
      <c r="D429" s="92"/>
      <c r="E429" s="39" t="s">
        <v>828</v>
      </c>
      <c r="F429" s="93"/>
      <c r="G429" s="345">
        <v>2024</v>
      </c>
      <c r="H429" s="345">
        <v>2030</v>
      </c>
      <c r="I429" s="83">
        <v>0</v>
      </c>
      <c r="J429" s="83">
        <v>100000000</v>
      </c>
      <c r="K429" s="264">
        <f t="shared" ref="K429:K435" si="763">SUM(I429:J429)</f>
        <v>100000000</v>
      </c>
      <c r="L429" s="83">
        <v>0</v>
      </c>
      <c r="M429" s="83">
        <v>178556000</v>
      </c>
      <c r="N429" s="264">
        <f t="shared" ref="N429:N435" si="764">SUM(L429:M429)</f>
        <v>178556000</v>
      </c>
      <c r="O429" s="83">
        <v>0</v>
      </c>
      <c r="P429" s="83">
        <v>0</v>
      </c>
      <c r="Q429" s="264">
        <f t="shared" ref="Q429:Q435" si="765">SUM(O429:P429)</f>
        <v>0</v>
      </c>
      <c r="R429" s="83">
        <v>0</v>
      </c>
      <c r="S429" s="83">
        <v>0</v>
      </c>
      <c r="T429" s="264">
        <f t="shared" ref="T429:T435" si="766">SUM(R429:S429)</f>
        <v>0</v>
      </c>
      <c r="U429" s="83">
        <v>0</v>
      </c>
      <c r="V429" s="83">
        <v>0</v>
      </c>
      <c r="W429" s="264">
        <f t="shared" ref="W429:W435" si="767">SUM(U429:V429)</f>
        <v>0</v>
      </c>
      <c r="X429" s="83">
        <v>0</v>
      </c>
      <c r="Y429" s="83">
        <v>0</v>
      </c>
      <c r="Z429" s="264">
        <f t="shared" ref="Z429:Z435" si="768">SUM(X429:Y429)</f>
        <v>0</v>
      </c>
      <c r="AA429" s="83">
        <v>0</v>
      </c>
      <c r="AB429" s="83">
        <v>0</v>
      </c>
      <c r="AC429" s="264">
        <f t="shared" ref="AC429:AC435" si="769">SUM(AA429:AB429)</f>
        <v>0</v>
      </c>
      <c r="AD429" s="83">
        <f t="shared" si="759"/>
        <v>0</v>
      </c>
      <c r="AE429" s="83">
        <f t="shared" si="760"/>
        <v>278556000</v>
      </c>
      <c r="AF429" s="264">
        <f t="shared" ref="AF429:AF435" si="770">AD429+AE429</f>
        <v>278556000</v>
      </c>
      <c r="AG429" s="83">
        <v>0</v>
      </c>
      <c r="AH429" s="83">
        <v>278556000</v>
      </c>
      <c r="AI429" s="264">
        <f t="shared" ref="AI429:AI435" si="771">SUM(AG429:AH429)</f>
        <v>278556000</v>
      </c>
      <c r="AJ429" s="83">
        <v>0</v>
      </c>
      <c r="AK429" s="83">
        <v>0</v>
      </c>
      <c r="AL429" s="83"/>
      <c r="AM429" s="264">
        <f t="shared" si="761"/>
        <v>0</v>
      </c>
      <c r="AN429" s="83">
        <v>0</v>
      </c>
      <c r="AO429" s="83">
        <v>0</v>
      </c>
      <c r="AP429" s="264">
        <f t="shared" ref="AP429:AP435" si="772">SUM(AN429:AO429)</f>
        <v>0</v>
      </c>
      <c r="AQ429" s="578">
        <f t="shared" si="762"/>
        <v>0</v>
      </c>
      <c r="AR429" s="47"/>
    </row>
    <row r="430" spans="2:44" ht="36" customHeight="1">
      <c r="B430" s="35" t="s">
        <v>908</v>
      </c>
      <c r="C430" s="554" t="s">
        <v>916</v>
      </c>
      <c r="D430" s="92"/>
      <c r="E430" s="39" t="s">
        <v>828</v>
      </c>
      <c r="F430" s="93"/>
      <c r="G430" s="345">
        <v>2026</v>
      </c>
      <c r="H430" s="345">
        <v>2026</v>
      </c>
      <c r="I430" s="83">
        <v>0</v>
      </c>
      <c r="J430" s="83">
        <v>0</v>
      </c>
      <c r="K430" s="264">
        <f t="shared" si="763"/>
        <v>0</v>
      </c>
      <c r="L430" s="83">
        <v>0</v>
      </c>
      <c r="M430" s="83">
        <v>0</v>
      </c>
      <c r="N430" s="264">
        <f t="shared" si="764"/>
        <v>0</v>
      </c>
      <c r="O430" s="83">
        <f>1086710*2</f>
        <v>2173420</v>
      </c>
      <c r="P430" s="83">
        <v>0</v>
      </c>
      <c r="Q430" s="264">
        <f t="shared" si="765"/>
        <v>2173420</v>
      </c>
      <c r="R430" s="83">
        <v>0</v>
      </c>
      <c r="S430" s="83">
        <v>0</v>
      </c>
      <c r="T430" s="264">
        <f t="shared" si="766"/>
        <v>0</v>
      </c>
      <c r="U430" s="83">
        <v>0</v>
      </c>
      <c r="V430" s="83">
        <v>0</v>
      </c>
      <c r="W430" s="264">
        <f t="shared" si="767"/>
        <v>0</v>
      </c>
      <c r="X430" s="83">
        <v>0</v>
      </c>
      <c r="Y430" s="83">
        <v>0</v>
      </c>
      <c r="Z430" s="264">
        <f t="shared" si="768"/>
        <v>0</v>
      </c>
      <c r="AA430" s="83">
        <v>0</v>
      </c>
      <c r="AB430" s="83">
        <v>0</v>
      </c>
      <c r="AC430" s="264">
        <f t="shared" si="769"/>
        <v>0</v>
      </c>
      <c r="AD430" s="83">
        <f t="shared" si="759"/>
        <v>2173420</v>
      </c>
      <c r="AE430" s="83">
        <f t="shared" si="760"/>
        <v>0</v>
      </c>
      <c r="AF430" s="264">
        <f t="shared" si="770"/>
        <v>2173420</v>
      </c>
      <c r="AG430" s="83">
        <v>2173420</v>
      </c>
      <c r="AH430" s="83">
        <v>0</v>
      </c>
      <c r="AI430" s="264">
        <f t="shared" si="771"/>
        <v>2173420</v>
      </c>
      <c r="AJ430" s="83">
        <v>0</v>
      </c>
      <c r="AK430" s="83">
        <v>0</v>
      </c>
      <c r="AL430" s="83"/>
      <c r="AM430" s="264">
        <f t="shared" si="761"/>
        <v>0</v>
      </c>
      <c r="AN430" s="83">
        <v>0</v>
      </c>
      <c r="AO430" s="83">
        <v>0</v>
      </c>
      <c r="AP430" s="264">
        <f t="shared" si="772"/>
        <v>0</v>
      </c>
      <c r="AQ430" s="578">
        <f t="shared" si="762"/>
        <v>0</v>
      </c>
      <c r="AR430" s="47"/>
    </row>
    <row r="431" spans="2:44" ht="36" customHeight="1">
      <c r="B431" s="35" t="s">
        <v>909</v>
      </c>
      <c r="C431" s="554" t="s">
        <v>917</v>
      </c>
      <c r="D431" s="92"/>
      <c r="E431" s="39" t="s">
        <v>828</v>
      </c>
      <c r="F431" s="93"/>
      <c r="G431" s="345">
        <v>2025</v>
      </c>
      <c r="H431" s="345">
        <v>2025</v>
      </c>
      <c r="I431" s="83">
        <v>0</v>
      </c>
      <c r="J431" s="83">
        <v>0</v>
      </c>
      <c r="K431" s="264">
        <f t="shared" si="763"/>
        <v>0</v>
      </c>
      <c r="L431" s="83">
        <v>2173420</v>
      </c>
      <c r="M431" s="83">
        <v>0</v>
      </c>
      <c r="N431" s="264">
        <f t="shared" si="764"/>
        <v>2173420</v>
      </c>
      <c r="O431" s="83">
        <v>0</v>
      </c>
      <c r="P431" s="83">
        <v>0</v>
      </c>
      <c r="Q431" s="264">
        <f t="shared" si="765"/>
        <v>0</v>
      </c>
      <c r="R431" s="83">
        <v>0</v>
      </c>
      <c r="S431" s="83">
        <v>0</v>
      </c>
      <c r="T431" s="264">
        <f t="shared" si="766"/>
        <v>0</v>
      </c>
      <c r="U431" s="83">
        <v>0</v>
      </c>
      <c r="V431" s="83">
        <v>0</v>
      </c>
      <c r="W431" s="264">
        <f t="shared" si="767"/>
        <v>0</v>
      </c>
      <c r="X431" s="83">
        <v>0</v>
      </c>
      <c r="Y431" s="83">
        <v>0</v>
      </c>
      <c r="Z431" s="264">
        <f t="shared" si="768"/>
        <v>0</v>
      </c>
      <c r="AA431" s="83">
        <v>0</v>
      </c>
      <c r="AB431" s="83">
        <v>0</v>
      </c>
      <c r="AC431" s="264">
        <f t="shared" si="769"/>
        <v>0</v>
      </c>
      <c r="AD431" s="83">
        <f t="shared" si="759"/>
        <v>2173420</v>
      </c>
      <c r="AE431" s="83">
        <f t="shared" si="760"/>
        <v>0</v>
      </c>
      <c r="AF431" s="264">
        <f t="shared" si="770"/>
        <v>2173420</v>
      </c>
      <c r="AG431" s="83">
        <v>2173420</v>
      </c>
      <c r="AH431" s="83">
        <v>0</v>
      </c>
      <c r="AI431" s="264">
        <f t="shared" si="771"/>
        <v>2173420</v>
      </c>
      <c r="AJ431" s="83">
        <v>0</v>
      </c>
      <c r="AK431" s="83">
        <v>0</v>
      </c>
      <c r="AL431" s="83"/>
      <c r="AM431" s="264">
        <f t="shared" si="761"/>
        <v>0</v>
      </c>
      <c r="AN431" s="83">
        <v>0</v>
      </c>
      <c r="AO431" s="83">
        <v>0</v>
      </c>
      <c r="AP431" s="264">
        <f t="shared" si="772"/>
        <v>0</v>
      </c>
      <c r="AQ431" s="578">
        <f t="shared" si="762"/>
        <v>0</v>
      </c>
      <c r="AR431" s="47"/>
    </row>
    <row r="432" spans="2:44" ht="36" customHeight="1">
      <c r="B432" s="35" t="s">
        <v>910</v>
      </c>
      <c r="C432" s="595" t="s">
        <v>918</v>
      </c>
      <c r="D432" s="92"/>
      <c r="E432" s="39" t="s">
        <v>828</v>
      </c>
      <c r="F432" s="93"/>
      <c r="G432" s="345">
        <v>2026</v>
      </c>
      <c r="H432" s="345">
        <v>2026</v>
      </c>
      <c r="I432" s="83">
        <v>0</v>
      </c>
      <c r="J432" s="83">
        <v>0</v>
      </c>
      <c r="K432" s="264">
        <f t="shared" si="763"/>
        <v>0</v>
      </c>
      <c r="L432" s="83">
        <v>0</v>
      </c>
      <c r="M432" s="83">
        <v>0</v>
      </c>
      <c r="N432" s="264">
        <f t="shared" si="764"/>
        <v>0</v>
      </c>
      <c r="O432" s="83">
        <v>1086710</v>
      </c>
      <c r="P432" s="83">
        <v>0</v>
      </c>
      <c r="Q432" s="264">
        <f t="shared" si="765"/>
        <v>1086710</v>
      </c>
      <c r="R432" s="83">
        <v>0</v>
      </c>
      <c r="S432" s="83">
        <v>0</v>
      </c>
      <c r="T432" s="264">
        <f t="shared" si="766"/>
        <v>0</v>
      </c>
      <c r="U432" s="83">
        <v>0</v>
      </c>
      <c r="V432" s="83">
        <v>0</v>
      </c>
      <c r="W432" s="264">
        <f t="shared" si="767"/>
        <v>0</v>
      </c>
      <c r="X432" s="83">
        <v>0</v>
      </c>
      <c r="Y432" s="83">
        <v>0</v>
      </c>
      <c r="Z432" s="264">
        <f t="shared" si="768"/>
        <v>0</v>
      </c>
      <c r="AA432" s="83">
        <v>0</v>
      </c>
      <c r="AB432" s="83">
        <v>0</v>
      </c>
      <c r="AC432" s="264">
        <f t="shared" si="769"/>
        <v>0</v>
      </c>
      <c r="AD432" s="83">
        <f t="shared" si="759"/>
        <v>1086710</v>
      </c>
      <c r="AE432" s="83">
        <f t="shared" si="760"/>
        <v>0</v>
      </c>
      <c r="AF432" s="264">
        <f t="shared" si="770"/>
        <v>1086710</v>
      </c>
      <c r="AG432" s="83">
        <v>1086710</v>
      </c>
      <c r="AH432" s="83">
        <v>0</v>
      </c>
      <c r="AI432" s="264">
        <f t="shared" si="771"/>
        <v>1086710</v>
      </c>
      <c r="AJ432" s="83">
        <v>0</v>
      </c>
      <c r="AK432" s="83">
        <v>0</v>
      </c>
      <c r="AL432" s="83"/>
      <c r="AM432" s="264">
        <f t="shared" si="761"/>
        <v>0</v>
      </c>
      <c r="AN432" s="83">
        <v>0</v>
      </c>
      <c r="AO432" s="83">
        <v>0</v>
      </c>
      <c r="AP432" s="264">
        <f t="shared" si="772"/>
        <v>0</v>
      </c>
      <c r="AQ432" s="578">
        <f t="shared" si="762"/>
        <v>0</v>
      </c>
      <c r="AR432" s="47"/>
    </row>
    <row r="433" spans="2:44" ht="36" customHeight="1">
      <c r="B433" s="35" t="s">
        <v>911</v>
      </c>
      <c r="C433" s="554" t="s">
        <v>919</v>
      </c>
      <c r="D433" s="92"/>
      <c r="E433" s="39" t="s">
        <v>828</v>
      </c>
      <c r="F433" s="93"/>
      <c r="G433" s="345">
        <v>2026</v>
      </c>
      <c r="H433" s="345">
        <v>2026</v>
      </c>
      <c r="I433" s="83">
        <v>0</v>
      </c>
      <c r="J433" s="83">
        <v>0</v>
      </c>
      <c r="K433" s="264">
        <f t="shared" si="763"/>
        <v>0</v>
      </c>
      <c r="L433" s="83">
        <v>0</v>
      </c>
      <c r="M433" s="83">
        <v>0</v>
      </c>
      <c r="N433" s="264">
        <f t="shared" si="764"/>
        <v>0</v>
      </c>
      <c r="O433" s="83">
        <v>0</v>
      </c>
      <c r="P433" s="83">
        <v>10000000</v>
      </c>
      <c r="Q433" s="264">
        <f t="shared" si="765"/>
        <v>10000000</v>
      </c>
      <c r="R433" s="83">
        <v>0</v>
      </c>
      <c r="S433" s="83">
        <v>0</v>
      </c>
      <c r="T433" s="264">
        <f t="shared" si="766"/>
        <v>0</v>
      </c>
      <c r="U433" s="83">
        <v>0</v>
      </c>
      <c r="V433" s="83">
        <v>0</v>
      </c>
      <c r="W433" s="264">
        <f t="shared" si="767"/>
        <v>0</v>
      </c>
      <c r="X433" s="83">
        <v>0</v>
      </c>
      <c r="Y433" s="83">
        <v>0</v>
      </c>
      <c r="Z433" s="264">
        <f t="shared" si="768"/>
        <v>0</v>
      </c>
      <c r="AA433" s="83">
        <v>0</v>
      </c>
      <c r="AB433" s="83">
        <v>0</v>
      </c>
      <c r="AC433" s="264">
        <f t="shared" si="769"/>
        <v>0</v>
      </c>
      <c r="AD433" s="83">
        <f t="shared" si="759"/>
        <v>0</v>
      </c>
      <c r="AE433" s="83">
        <f t="shared" si="760"/>
        <v>10000000</v>
      </c>
      <c r="AF433" s="264">
        <f t="shared" si="770"/>
        <v>10000000</v>
      </c>
      <c r="AG433" s="83">
        <v>0</v>
      </c>
      <c r="AH433" s="83">
        <v>0</v>
      </c>
      <c r="AI433" s="264">
        <f t="shared" si="771"/>
        <v>0</v>
      </c>
      <c r="AJ433" s="83">
        <v>0</v>
      </c>
      <c r="AK433" s="83">
        <v>0</v>
      </c>
      <c r="AL433" s="83"/>
      <c r="AM433" s="264">
        <f t="shared" si="761"/>
        <v>0</v>
      </c>
      <c r="AN433" s="83">
        <v>0</v>
      </c>
      <c r="AO433" s="83">
        <v>0</v>
      </c>
      <c r="AP433" s="264">
        <f t="shared" si="772"/>
        <v>0</v>
      </c>
      <c r="AQ433" s="578">
        <f t="shared" si="762"/>
        <v>-10000000</v>
      </c>
      <c r="AR433" s="47"/>
    </row>
    <row r="434" spans="2:44" ht="36" customHeight="1">
      <c r="B434" s="35" t="s">
        <v>912</v>
      </c>
      <c r="C434" s="554" t="s">
        <v>920</v>
      </c>
      <c r="D434" s="92"/>
      <c r="E434" s="39" t="s">
        <v>828</v>
      </c>
      <c r="F434" s="93"/>
      <c r="G434" s="345">
        <v>2025</v>
      </c>
      <c r="H434" s="345">
        <v>2030</v>
      </c>
      <c r="I434" s="83">
        <v>0</v>
      </c>
      <c r="J434" s="83">
        <v>0</v>
      </c>
      <c r="K434" s="264">
        <f t="shared" si="763"/>
        <v>0</v>
      </c>
      <c r="L434" s="83">
        <v>1086710</v>
      </c>
      <c r="M434" s="83">
        <v>0</v>
      </c>
      <c r="N434" s="264">
        <f t="shared" si="764"/>
        <v>1086710</v>
      </c>
      <c r="O434" s="83">
        <v>1086710</v>
      </c>
      <c r="P434" s="83">
        <v>0</v>
      </c>
      <c r="Q434" s="264">
        <f t="shared" si="765"/>
        <v>1086710</v>
      </c>
      <c r="R434" s="83">
        <v>1086710</v>
      </c>
      <c r="S434" s="83">
        <v>0</v>
      </c>
      <c r="T434" s="264">
        <f t="shared" si="766"/>
        <v>1086710</v>
      </c>
      <c r="U434" s="83">
        <v>1086710</v>
      </c>
      <c r="V434" s="83">
        <v>0</v>
      </c>
      <c r="W434" s="264">
        <f t="shared" si="767"/>
        <v>1086710</v>
      </c>
      <c r="X434" s="83">
        <v>1086710</v>
      </c>
      <c r="Y434" s="83">
        <v>0</v>
      </c>
      <c r="Z434" s="264">
        <f t="shared" si="768"/>
        <v>1086710</v>
      </c>
      <c r="AA434" s="83">
        <v>1086710</v>
      </c>
      <c r="AB434" s="83">
        <v>0</v>
      </c>
      <c r="AC434" s="264">
        <f t="shared" si="769"/>
        <v>1086710</v>
      </c>
      <c r="AD434" s="83">
        <f t="shared" si="759"/>
        <v>6520260</v>
      </c>
      <c r="AE434" s="83">
        <f t="shared" si="760"/>
        <v>0</v>
      </c>
      <c r="AF434" s="264">
        <f t="shared" si="770"/>
        <v>6520260</v>
      </c>
      <c r="AG434" s="83">
        <f>1086710*2</f>
        <v>2173420</v>
      </c>
      <c r="AH434" s="83">
        <v>0</v>
      </c>
      <c r="AI434" s="264">
        <f t="shared" si="771"/>
        <v>2173420</v>
      </c>
      <c r="AJ434" s="83">
        <v>0</v>
      </c>
      <c r="AK434" s="83">
        <v>0</v>
      </c>
      <c r="AL434" s="83"/>
      <c r="AM434" s="264">
        <f t="shared" si="761"/>
        <v>0</v>
      </c>
      <c r="AN434" s="83">
        <f>1086710*4</f>
        <v>4346840</v>
      </c>
      <c r="AO434" s="83">
        <v>0</v>
      </c>
      <c r="AP434" s="264">
        <f t="shared" si="772"/>
        <v>4346840</v>
      </c>
      <c r="AQ434" s="578">
        <f t="shared" si="762"/>
        <v>0</v>
      </c>
      <c r="AR434" s="47"/>
    </row>
    <row r="435" spans="2:44" ht="36" customHeight="1">
      <c r="B435" s="35" t="s">
        <v>913</v>
      </c>
      <c r="C435" s="554" t="s">
        <v>921</v>
      </c>
      <c r="D435" s="92"/>
      <c r="E435" s="330" t="s">
        <v>828</v>
      </c>
      <c r="F435" s="93"/>
      <c r="G435" s="345">
        <v>2025</v>
      </c>
      <c r="H435" s="345">
        <v>2030</v>
      </c>
      <c r="I435" s="83">
        <v>0</v>
      </c>
      <c r="J435" s="83">
        <v>0</v>
      </c>
      <c r="K435" s="264">
        <f t="shared" si="763"/>
        <v>0</v>
      </c>
      <c r="L435" s="83">
        <v>6000000</v>
      </c>
      <c r="M435" s="83">
        <v>0</v>
      </c>
      <c r="N435" s="264">
        <f t="shared" si="764"/>
        <v>6000000</v>
      </c>
      <c r="O435" s="83">
        <v>6000000</v>
      </c>
      <c r="P435" s="83">
        <v>0</v>
      </c>
      <c r="Q435" s="264">
        <f t="shared" si="765"/>
        <v>6000000</v>
      </c>
      <c r="R435" s="83">
        <v>6000000</v>
      </c>
      <c r="S435" s="83">
        <v>0</v>
      </c>
      <c r="T435" s="264">
        <f t="shared" si="766"/>
        <v>6000000</v>
      </c>
      <c r="U435" s="83">
        <v>6000000</v>
      </c>
      <c r="V435" s="83">
        <v>0</v>
      </c>
      <c r="W435" s="264">
        <f t="shared" si="767"/>
        <v>6000000</v>
      </c>
      <c r="X435" s="83">
        <v>6000000</v>
      </c>
      <c r="Y435" s="83">
        <v>0</v>
      </c>
      <c r="Z435" s="264">
        <f t="shared" si="768"/>
        <v>6000000</v>
      </c>
      <c r="AA435" s="83">
        <v>6000000</v>
      </c>
      <c r="AB435" s="83">
        <v>0</v>
      </c>
      <c r="AC435" s="264">
        <f t="shared" si="769"/>
        <v>6000000</v>
      </c>
      <c r="AD435" s="83">
        <f t="shared" si="759"/>
        <v>36000000</v>
      </c>
      <c r="AE435" s="83">
        <f t="shared" si="760"/>
        <v>0</v>
      </c>
      <c r="AF435" s="264">
        <f t="shared" si="770"/>
        <v>36000000</v>
      </c>
      <c r="AG435" s="83">
        <v>0</v>
      </c>
      <c r="AH435" s="83">
        <v>0</v>
      </c>
      <c r="AI435" s="264">
        <f t="shared" si="771"/>
        <v>0</v>
      </c>
      <c r="AJ435" s="83">
        <v>0</v>
      </c>
      <c r="AK435" s="83">
        <v>0</v>
      </c>
      <c r="AL435" s="83"/>
      <c r="AM435" s="264">
        <f t="shared" si="761"/>
        <v>0</v>
      </c>
      <c r="AN435" s="83">
        <v>0</v>
      </c>
      <c r="AO435" s="83">
        <v>0</v>
      </c>
      <c r="AP435" s="264">
        <f t="shared" si="772"/>
        <v>0</v>
      </c>
      <c r="AQ435" s="578">
        <f t="shared" si="762"/>
        <v>-36000000</v>
      </c>
      <c r="AR435" s="47"/>
    </row>
    <row r="436" spans="2:44" ht="36" customHeight="1">
      <c r="B436" s="210" t="s">
        <v>906</v>
      </c>
      <c r="C436" s="571" t="s">
        <v>922</v>
      </c>
      <c r="D436" s="217"/>
      <c r="E436" s="600" t="s">
        <v>931</v>
      </c>
      <c r="F436" s="570"/>
      <c r="G436" s="570">
        <v>2024</v>
      </c>
      <c r="H436" s="570">
        <v>2026</v>
      </c>
      <c r="I436" s="197">
        <f>SUM(I437:I438)</f>
        <v>0</v>
      </c>
      <c r="J436" s="197">
        <f>SUM(J437:J438)</f>
        <v>0</v>
      </c>
      <c r="K436" s="197">
        <f>I436+J436</f>
        <v>0</v>
      </c>
      <c r="L436" s="197">
        <f>SUM(L437:L438)</f>
        <v>0</v>
      </c>
      <c r="M436" s="197">
        <f>SUM(M437:M438)</f>
        <v>0</v>
      </c>
      <c r="N436" s="197">
        <f>L436+M436</f>
        <v>0</v>
      </c>
      <c r="O436" s="197">
        <f>SUM(O437:O438)</f>
        <v>2173420</v>
      </c>
      <c r="P436" s="197">
        <f>SUM(P437:P438)</f>
        <v>0</v>
      </c>
      <c r="Q436" s="197">
        <f>O436+P436</f>
        <v>2173420</v>
      </c>
      <c r="R436" s="197">
        <f>SUM(R437:R438)</f>
        <v>0</v>
      </c>
      <c r="S436" s="197">
        <f>SUM(S437:S438)</f>
        <v>0</v>
      </c>
      <c r="T436" s="197">
        <f>R436+S436</f>
        <v>0</v>
      </c>
      <c r="U436" s="197">
        <f>SUM(U437:U438)</f>
        <v>0</v>
      </c>
      <c r="V436" s="197">
        <f>SUM(V437:V438)</f>
        <v>0</v>
      </c>
      <c r="W436" s="197">
        <f>U436+V436</f>
        <v>0</v>
      </c>
      <c r="X436" s="197">
        <f>SUM(X437:X438)</f>
        <v>0</v>
      </c>
      <c r="Y436" s="197">
        <f>SUM(Y437:Y438)</f>
        <v>0</v>
      </c>
      <c r="Z436" s="197">
        <f>SUM(X436:Y436)</f>
        <v>0</v>
      </c>
      <c r="AA436" s="197">
        <f>SUM(AA437:AA438)</f>
        <v>0</v>
      </c>
      <c r="AB436" s="197">
        <f>SUM(AB437:AB438)</f>
        <v>0</v>
      </c>
      <c r="AC436" s="197">
        <f>SUM(AA436:AB436)</f>
        <v>0</v>
      </c>
      <c r="AD436" s="197">
        <f t="shared" ref="AD436:AD438" si="773">I436+L436+O436+R436+U436+X436+AA436</f>
        <v>2173420</v>
      </c>
      <c r="AE436" s="197">
        <f t="shared" ref="AE436:AE438" si="774">J436+M436+P436+S436+V436+Y436+AB436</f>
        <v>0</v>
      </c>
      <c r="AF436" s="197">
        <f>AD436+AE436</f>
        <v>2173420</v>
      </c>
      <c r="AG436" s="197">
        <f>SUM(AG437:AG438)</f>
        <v>2173420</v>
      </c>
      <c r="AH436" s="197">
        <f>SUM(AH437:AH438)</f>
        <v>0</v>
      </c>
      <c r="AI436" s="197">
        <f>AG436+AH436</f>
        <v>2173420</v>
      </c>
      <c r="AJ436" s="197">
        <f>SUM(AJ437:AJ438)</f>
        <v>0</v>
      </c>
      <c r="AK436" s="197">
        <f>SUM(AK437:AK438)</f>
        <v>0</v>
      </c>
      <c r="AL436" s="197"/>
      <c r="AM436" s="197">
        <f t="shared" ref="AM436:AM447" si="775">AJ436+AK436</f>
        <v>0</v>
      </c>
      <c r="AN436" s="197">
        <f>SUM(AN437:AN438)</f>
        <v>0</v>
      </c>
      <c r="AO436" s="197">
        <f>SUM(AO437:AO438)</f>
        <v>0</v>
      </c>
      <c r="AP436" s="197">
        <f>AN436+AO436</f>
        <v>0</v>
      </c>
      <c r="AQ436" s="577">
        <f t="shared" si="762"/>
        <v>0</v>
      </c>
      <c r="AR436" s="47"/>
    </row>
    <row r="437" spans="2:44" ht="36" customHeight="1">
      <c r="B437" s="35" t="s">
        <v>925</v>
      </c>
      <c r="C437" s="327" t="s">
        <v>923</v>
      </c>
      <c r="D437" s="92"/>
      <c r="E437" s="579" t="s">
        <v>928</v>
      </c>
      <c r="F437" s="560" t="s">
        <v>929</v>
      </c>
      <c r="G437" s="406">
        <v>2024</v>
      </c>
      <c r="H437" s="406">
        <v>2030</v>
      </c>
      <c r="I437" s="83">
        <v>0</v>
      </c>
      <c r="J437" s="83">
        <v>0</v>
      </c>
      <c r="K437" s="264">
        <f t="shared" ref="K437:K438" si="776">SUM(I437:J437)</f>
        <v>0</v>
      </c>
      <c r="L437" s="83">
        <v>0</v>
      </c>
      <c r="M437" s="83">
        <v>0</v>
      </c>
      <c r="N437" s="264">
        <f t="shared" ref="N437:N438" si="777">SUM(L437:M437)</f>
        <v>0</v>
      </c>
      <c r="O437" s="83">
        <v>0</v>
      </c>
      <c r="P437" s="83">
        <v>0</v>
      </c>
      <c r="Q437" s="264">
        <f t="shared" ref="Q437:Q438" si="778">SUM(O437:P437)</f>
        <v>0</v>
      </c>
      <c r="R437" s="83">
        <v>0</v>
      </c>
      <c r="S437" s="83">
        <v>0</v>
      </c>
      <c r="T437" s="264">
        <f t="shared" ref="T437:T438" si="779">SUM(R437:S437)</f>
        <v>0</v>
      </c>
      <c r="U437" s="83">
        <v>0</v>
      </c>
      <c r="V437" s="83">
        <v>0</v>
      </c>
      <c r="W437" s="264">
        <f t="shared" ref="W437:W438" si="780">SUM(U437:V437)</f>
        <v>0</v>
      </c>
      <c r="X437" s="83">
        <v>0</v>
      </c>
      <c r="Y437" s="83">
        <v>0</v>
      </c>
      <c r="Z437" s="264">
        <f t="shared" ref="Z437:Z438" si="781">SUM(X437:Y437)</f>
        <v>0</v>
      </c>
      <c r="AA437" s="83">
        <v>0</v>
      </c>
      <c r="AB437" s="83">
        <v>0</v>
      </c>
      <c r="AC437" s="264">
        <f t="shared" ref="AC437:AC438" si="782">SUM(AA437:AB437)</f>
        <v>0</v>
      </c>
      <c r="AD437" s="83">
        <f t="shared" si="773"/>
        <v>0</v>
      </c>
      <c r="AE437" s="83">
        <f t="shared" si="774"/>
        <v>0</v>
      </c>
      <c r="AF437" s="264">
        <f t="shared" ref="AF437:AF438" si="783">AD437+AE437</f>
        <v>0</v>
      </c>
      <c r="AG437" s="83">
        <v>0</v>
      </c>
      <c r="AH437" s="83">
        <v>0</v>
      </c>
      <c r="AI437" s="264">
        <f t="shared" ref="AI437:AI438" si="784">SUM(AG437:AH437)</f>
        <v>0</v>
      </c>
      <c r="AJ437" s="83">
        <v>0</v>
      </c>
      <c r="AK437" s="83">
        <v>0</v>
      </c>
      <c r="AL437" s="83"/>
      <c r="AM437" s="264">
        <f t="shared" si="775"/>
        <v>0</v>
      </c>
      <c r="AN437" s="83">
        <v>0</v>
      </c>
      <c r="AO437" s="83">
        <v>0</v>
      </c>
      <c r="AP437" s="264">
        <f t="shared" ref="AP437:AP438" si="785">SUM(AN437:AO437)</f>
        <v>0</v>
      </c>
      <c r="AQ437" s="578">
        <f t="shared" si="762"/>
        <v>0</v>
      </c>
      <c r="AR437" s="47"/>
    </row>
    <row r="438" spans="2:44" ht="36" customHeight="1" thickBot="1">
      <c r="B438" s="35" t="s">
        <v>926</v>
      </c>
      <c r="C438" s="327" t="s">
        <v>924</v>
      </c>
      <c r="D438" s="92"/>
      <c r="E438" s="434" t="s">
        <v>930</v>
      </c>
      <c r="F438" s="585" t="s">
        <v>928</v>
      </c>
      <c r="G438" s="406">
        <v>2026</v>
      </c>
      <c r="H438" s="406">
        <v>2026</v>
      </c>
      <c r="I438" s="83">
        <v>0</v>
      </c>
      <c r="J438" s="83">
        <v>0</v>
      </c>
      <c r="K438" s="264">
        <f t="shared" si="776"/>
        <v>0</v>
      </c>
      <c r="L438" s="83">
        <v>0</v>
      </c>
      <c r="M438" s="83">
        <v>0</v>
      </c>
      <c r="N438" s="264">
        <f t="shared" si="777"/>
        <v>0</v>
      </c>
      <c r="O438" s="83">
        <v>2173420</v>
      </c>
      <c r="P438" s="83">
        <v>0</v>
      </c>
      <c r="Q438" s="264">
        <f t="shared" si="778"/>
        <v>2173420</v>
      </c>
      <c r="R438" s="83">
        <v>0</v>
      </c>
      <c r="S438" s="83">
        <v>0</v>
      </c>
      <c r="T438" s="264">
        <f t="shared" si="779"/>
        <v>0</v>
      </c>
      <c r="U438" s="83">
        <v>0</v>
      </c>
      <c r="V438" s="83">
        <v>0</v>
      </c>
      <c r="W438" s="264">
        <f t="shared" si="780"/>
        <v>0</v>
      </c>
      <c r="X438" s="83">
        <v>0</v>
      </c>
      <c r="Y438" s="83">
        <v>0</v>
      </c>
      <c r="Z438" s="264">
        <f t="shared" si="781"/>
        <v>0</v>
      </c>
      <c r="AA438" s="83">
        <v>0</v>
      </c>
      <c r="AB438" s="83">
        <v>0</v>
      </c>
      <c r="AC438" s="264">
        <f t="shared" si="782"/>
        <v>0</v>
      </c>
      <c r="AD438" s="83">
        <f t="shared" si="773"/>
        <v>2173420</v>
      </c>
      <c r="AE438" s="83">
        <f t="shared" si="774"/>
        <v>0</v>
      </c>
      <c r="AF438" s="264">
        <f t="shared" si="783"/>
        <v>2173420</v>
      </c>
      <c r="AG438" s="83">
        <v>2173420</v>
      </c>
      <c r="AH438" s="83">
        <v>0</v>
      </c>
      <c r="AI438" s="264">
        <f t="shared" si="784"/>
        <v>2173420</v>
      </c>
      <c r="AJ438" s="83">
        <v>0</v>
      </c>
      <c r="AK438" s="83">
        <v>0</v>
      </c>
      <c r="AL438" s="83"/>
      <c r="AM438" s="264">
        <f t="shared" si="775"/>
        <v>0</v>
      </c>
      <c r="AN438" s="83">
        <v>0</v>
      </c>
      <c r="AO438" s="83">
        <v>0</v>
      </c>
      <c r="AP438" s="264">
        <f t="shared" si="785"/>
        <v>0</v>
      </c>
      <c r="AQ438" s="578">
        <f t="shared" si="762"/>
        <v>0</v>
      </c>
      <c r="AR438" s="47"/>
    </row>
    <row r="439" spans="2:44" ht="36" customHeight="1">
      <c r="B439" s="596" t="s">
        <v>927</v>
      </c>
      <c r="C439" s="597" t="s">
        <v>936</v>
      </c>
      <c r="D439" s="598"/>
      <c r="E439" s="601"/>
      <c r="F439" s="601"/>
      <c r="G439" s="601">
        <v>2024</v>
      </c>
      <c r="H439" s="601">
        <v>2030</v>
      </c>
      <c r="I439" s="594">
        <f>SUM(I440:I442)</f>
        <v>1086710</v>
      </c>
      <c r="J439" s="594">
        <f>SUM(J440:J442)</f>
        <v>0</v>
      </c>
      <c r="K439" s="594">
        <f>I439+J439</f>
        <v>1086710</v>
      </c>
      <c r="L439" s="594">
        <f>SUM(L440:L442)</f>
        <v>3260130</v>
      </c>
      <c r="M439" s="594">
        <f>SUM(M440:M442)</f>
        <v>0</v>
      </c>
      <c r="N439" s="594">
        <f>L439+M439</f>
        <v>3260130</v>
      </c>
      <c r="O439" s="594">
        <f>SUM(O440:O442)</f>
        <v>1630065</v>
      </c>
      <c r="P439" s="594">
        <f>SUM(P440:P442)</f>
        <v>0</v>
      </c>
      <c r="Q439" s="594">
        <f>O439+P439</f>
        <v>1630065</v>
      </c>
      <c r="R439" s="594">
        <f>SUM(R440:R442)</f>
        <v>1086710</v>
      </c>
      <c r="S439" s="594">
        <f>SUM(S440:S442)</f>
        <v>0</v>
      </c>
      <c r="T439" s="214">
        <f>R439+S439</f>
        <v>1086710</v>
      </c>
      <c r="U439" s="214">
        <f>SUM(U440:U442)</f>
        <v>1086710</v>
      </c>
      <c r="V439" s="214">
        <f>SUM(V440:V442)</f>
        <v>0</v>
      </c>
      <c r="W439" s="214">
        <f>U439+V439</f>
        <v>1086710</v>
      </c>
      <c r="X439" s="214">
        <f>SUM(X440:X442)</f>
        <v>1086710</v>
      </c>
      <c r="Y439" s="214">
        <f>SUM(Y440:Y442)</f>
        <v>0</v>
      </c>
      <c r="Z439" s="214">
        <f>SUM(Z440:Z442)</f>
        <v>1086710</v>
      </c>
      <c r="AA439" s="214">
        <f>SUM(AA440:AA442)</f>
        <v>1086710</v>
      </c>
      <c r="AB439" s="214">
        <f>SUM(AB440:AB442)</f>
        <v>0</v>
      </c>
      <c r="AC439" s="214">
        <f>SUM(AA439:AB439)</f>
        <v>1086710</v>
      </c>
      <c r="AD439" s="214">
        <f t="shared" ref="AD439:AD442" si="786">I439+L439+O439+R439+U439+X439+AA439</f>
        <v>10323745</v>
      </c>
      <c r="AE439" s="214">
        <f t="shared" ref="AE439:AE442" si="787">J439+M439+P439+S439+V439+Y439+AB439</f>
        <v>0</v>
      </c>
      <c r="AF439" s="214">
        <f>AD439+AE439</f>
        <v>10323745</v>
      </c>
      <c r="AG439" s="214">
        <f>SUM(AG440:AG442)</f>
        <v>5976905</v>
      </c>
      <c r="AH439" s="214">
        <f>SUM(AH440:AH442)</f>
        <v>0</v>
      </c>
      <c r="AI439" s="214">
        <f>AG439+AH439</f>
        <v>5976905</v>
      </c>
      <c r="AJ439" s="214">
        <f>SUM(AJ440:AJ442)</f>
        <v>0</v>
      </c>
      <c r="AK439" s="214">
        <f>SUM(AK440:AK442)</f>
        <v>0</v>
      </c>
      <c r="AL439" s="214"/>
      <c r="AM439" s="214">
        <f t="shared" si="775"/>
        <v>0</v>
      </c>
      <c r="AN439" s="214">
        <f>SUM(AN440:AN442)</f>
        <v>4346840</v>
      </c>
      <c r="AO439" s="214">
        <f>SUM(AO440:AO442)</f>
        <v>0</v>
      </c>
      <c r="AP439" s="214">
        <f>AN439+AO439</f>
        <v>4346840</v>
      </c>
      <c r="AQ439" s="576">
        <f t="shared" ref="AQ439:AQ450" si="788">SUM(AP439+AM439+AI439)-AF439</f>
        <v>0</v>
      </c>
      <c r="AR439" s="47"/>
    </row>
    <row r="440" spans="2:44" ht="36" customHeight="1">
      <c r="B440" s="87" t="s">
        <v>932</v>
      </c>
      <c r="C440" s="337" t="s">
        <v>937</v>
      </c>
      <c r="D440" s="599"/>
      <c r="E440" s="339" t="s">
        <v>928</v>
      </c>
      <c r="F440" s="584" t="s">
        <v>370</v>
      </c>
      <c r="G440" s="406">
        <v>2024</v>
      </c>
      <c r="H440" s="406">
        <v>2030</v>
      </c>
      <c r="I440" s="83">
        <v>1086710</v>
      </c>
      <c r="J440" s="83">
        <v>0</v>
      </c>
      <c r="K440" s="264">
        <f t="shared" ref="K440:K442" si="789">SUM(I440:J440)</f>
        <v>1086710</v>
      </c>
      <c r="L440" s="83">
        <v>1086710</v>
      </c>
      <c r="M440" s="83">
        <v>0</v>
      </c>
      <c r="N440" s="264">
        <f t="shared" ref="N440:N442" si="790">SUM(L440:M440)</f>
        <v>1086710</v>
      </c>
      <c r="O440" s="83">
        <v>1086710</v>
      </c>
      <c r="P440" s="83">
        <v>0</v>
      </c>
      <c r="Q440" s="264">
        <f t="shared" ref="Q440:Q442" si="791">SUM(O440:P440)</f>
        <v>1086710</v>
      </c>
      <c r="R440" s="83">
        <v>1086710</v>
      </c>
      <c r="S440" s="83">
        <v>0</v>
      </c>
      <c r="T440" s="264">
        <f t="shared" ref="T440:T442" si="792">SUM(R440:S440)</f>
        <v>1086710</v>
      </c>
      <c r="U440" s="83">
        <v>1086710</v>
      </c>
      <c r="V440" s="83">
        <v>0</v>
      </c>
      <c r="W440" s="264">
        <f t="shared" ref="W440:W442" si="793">SUM(U440:V440)</f>
        <v>1086710</v>
      </c>
      <c r="X440" s="83">
        <v>1086710</v>
      </c>
      <c r="Y440" s="83">
        <v>0</v>
      </c>
      <c r="Z440" s="264">
        <f t="shared" ref="Z440:Z442" si="794">SUM(X440:Y440)</f>
        <v>1086710</v>
      </c>
      <c r="AA440" s="83">
        <v>1086710</v>
      </c>
      <c r="AB440" s="83">
        <v>0</v>
      </c>
      <c r="AC440" s="264">
        <f t="shared" ref="AC440:AC442" si="795">SUM(AA440:AB440)</f>
        <v>1086710</v>
      </c>
      <c r="AD440" s="83">
        <f t="shared" si="786"/>
        <v>7606970</v>
      </c>
      <c r="AE440" s="83">
        <f t="shared" si="787"/>
        <v>0</v>
      </c>
      <c r="AF440" s="264">
        <f t="shared" ref="AF440:AF442" si="796">AD440+AE440</f>
        <v>7606970</v>
      </c>
      <c r="AG440" s="83">
        <f>1086710*3</f>
        <v>3260130</v>
      </c>
      <c r="AH440" s="83">
        <v>0</v>
      </c>
      <c r="AI440" s="264">
        <f t="shared" ref="AI440:AI442" si="797">SUM(AG440:AH440)</f>
        <v>3260130</v>
      </c>
      <c r="AJ440" s="83">
        <v>0</v>
      </c>
      <c r="AK440" s="83">
        <v>0</v>
      </c>
      <c r="AL440" s="83"/>
      <c r="AM440" s="264">
        <f t="shared" si="775"/>
        <v>0</v>
      </c>
      <c r="AN440" s="83">
        <f>1086710*4</f>
        <v>4346840</v>
      </c>
      <c r="AO440" s="83">
        <v>0</v>
      </c>
      <c r="AP440" s="264">
        <f t="shared" ref="AP440:AP442" si="798">SUM(AN440:AO440)</f>
        <v>4346840</v>
      </c>
      <c r="AQ440" s="578">
        <f t="shared" si="788"/>
        <v>0</v>
      </c>
      <c r="AR440" s="47"/>
    </row>
    <row r="441" spans="2:44" ht="36" customHeight="1">
      <c r="B441" s="87" t="s">
        <v>933</v>
      </c>
      <c r="C441" s="327" t="s">
        <v>938</v>
      </c>
      <c r="D441" s="599"/>
      <c r="E441" s="330" t="s">
        <v>928</v>
      </c>
      <c r="F441" s="457" t="s">
        <v>370</v>
      </c>
      <c r="G441" s="406">
        <v>2026</v>
      </c>
      <c r="H441" s="406">
        <v>2026</v>
      </c>
      <c r="I441" s="83">
        <v>0</v>
      </c>
      <c r="J441" s="83">
        <v>0</v>
      </c>
      <c r="K441" s="264">
        <f t="shared" si="789"/>
        <v>0</v>
      </c>
      <c r="L441" s="83">
        <v>0</v>
      </c>
      <c r="M441" s="83">
        <v>0</v>
      </c>
      <c r="N441" s="264">
        <f t="shared" si="790"/>
        <v>0</v>
      </c>
      <c r="O441" s="83">
        <v>543355</v>
      </c>
      <c r="P441" s="83">
        <v>0</v>
      </c>
      <c r="Q441" s="264">
        <f t="shared" si="791"/>
        <v>543355</v>
      </c>
      <c r="R441" s="305">
        <v>0</v>
      </c>
      <c r="S441" s="305">
        <v>0</v>
      </c>
      <c r="T441" s="264">
        <f t="shared" si="792"/>
        <v>0</v>
      </c>
      <c r="U441" s="83">
        <v>0</v>
      </c>
      <c r="V441" s="83">
        <v>0</v>
      </c>
      <c r="W441" s="264">
        <f t="shared" si="793"/>
        <v>0</v>
      </c>
      <c r="X441" s="83">
        <v>0</v>
      </c>
      <c r="Y441" s="83">
        <v>0</v>
      </c>
      <c r="Z441" s="264">
        <f t="shared" si="794"/>
        <v>0</v>
      </c>
      <c r="AA441" s="83">
        <v>0</v>
      </c>
      <c r="AB441" s="83">
        <v>0</v>
      </c>
      <c r="AC441" s="264">
        <f t="shared" si="795"/>
        <v>0</v>
      </c>
      <c r="AD441" s="83">
        <f t="shared" si="786"/>
        <v>543355</v>
      </c>
      <c r="AE441" s="83">
        <f t="shared" si="787"/>
        <v>0</v>
      </c>
      <c r="AF441" s="264">
        <f t="shared" si="796"/>
        <v>543355</v>
      </c>
      <c r="AG441" s="83">
        <v>543355</v>
      </c>
      <c r="AH441" s="83">
        <v>0</v>
      </c>
      <c r="AI441" s="264">
        <f t="shared" si="797"/>
        <v>543355</v>
      </c>
      <c r="AJ441" s="83">
        <v>0</v>
      </c>
      <c r="AK441" s="83">
        <v>0</v>
      </c>
      <c r="AL441" s="83"/>
      <c r="AM441" s="264">
        <f t="shared" si="775"/>
        <v>0</v>
      </c>
      <c r="AN441" s="83">
        <v>0</v>
      </c>
      <c r="AO441" s="83">
        <v>0</v>
      </c>
      <c r="AP441" s="264">
        <f t="shared" si="798"/>
        <v>0</v>
      </c>
      <c r="AQ441" s="578">
        <f t="shared" si="788"/>
        <v>0</v>
      </c>
      <c r="AR441" s="47"/>
    </row>
    <row r="442" spans="2:44" ht="36" customHeight="1" thickBot="1">
      <c r="B442" s="125" t="s">
        <v>934</v>
      </c>
      <c r="C442" s="338" t="s">
        <v>939</v>
      </c>
      <c r="D442" s="124"/>
      <c r="E442" s="340" t="s">
        <v>928</v>
      </c>
      <c r="F442" s="561" t="s">
        <v>370</v>
      </c>
      <c r="G442" s="602">
        <v>2025</v>
      </c>
      <c r="H442" s="602">
        <v>2025</v>
      </c>
      <c r="I442" s="586">
        <v>0</v>
      </c>
      <c r="J442" s="586">
        <v>0</v>
      </c>
      <c r="K442" s="270">
        <f t="shared" si="789"/>
        <v>0</v>
      </c>
      <c r="L442" s="586">
        <v>2173420</v>
      </c>
      <c r="M442" s="586">
        <v>0</v>
      </c>
      <c r="N442" s="270">
        <f t="shared" si="790"/>
        <v>2173420</v>
      </c>
      <c r="O442" s="586">
        <v>0</v>
      </c>
      <c r="P442" s="586">
        <v>0</v>
      </c>
      <c r="Q442" s="270">
        <f t="shared" si="791"/>
        <v>0</v>
      </c>
      <c r="R442" s="101">
        <v>0</v>
      </c>
      <c r="S442" s="101">
        <v>0</v>
      </c>
      <c r="T442" s="270">
        <f t="shared" si="792"/>
        <v>0</v>
      </c>
      <c r="U442" s="586">
        <v>0</v>
      </c>
      <c r="V442" s="586">
        <v>0</v>
      </c>
      <c r="W442" s="270">
        <f t="shared" si="793"/>
        <v>0</v>
      </c>
      <c r="X442" s="586">
        <v>0</v>
      </c>
      <c r="Y442" s="586">
        <v>0</v>
      </c>
      <c r="Z442" s="270">
        <f t="shared" si="794"/>
        <v>0</v>
      </c>
      <c r="AA442" s="586">
        <v>0</v>
      </c>
      <c r="AB442" s="586">
        <v>0</v>
      </c>
      <c r="AC442" s="270">
        <f t="shared" si="795"/>
        <v>0</v>
      </c>
      <c r="AD442" s="83">
        <f t="shared" si="786"/>
        <v>2173420</v>
      </c>
      <c r="AE442" s="83">
        <f t="shared" si="787"/>
        <v>0</v>
      </c>
      <c r="AF442" s="270">
        <f t="shared" si="796"/>
        <v>2173420</v>
      </c>
      <c r="AG442" s="586">
        <v>2173420</v>
      </c>
      <c r="AH442" s="586">
        <v>0</v>
      </c>
      <c r="AI442" s="270">
        <f t="shared" si="797"/>
        <v>2173420</v>
      </c>
      <c r="AJ442" s="83">
        <v>0</v>
      </c>
      <c r="AK442" s="83">
        <v>0</v>
      </c>
      <c r="AL442" s="586"/>
      <c r="AM442" s="270">
        <f t="shared" si="775"/>
        <v>0</v>
      </c>
      <c r="AN442" s="586">
        <v>0</v>
      </c>
      <c r="AO442" s="586">
        <v>0</v>
      </c>
      <c r="AP442" s="270">
        <f t="shared" si="798"/>
        <v>0</v>
      </c>
      <c r="AQ442" s="578">
        <f t="shared" si="788"/>
        <v>0</v>
      </c>
      <c r="AR442" s="47"/>
    </row>
    <row r="443" spans="2:44" ht="50.45" customHeight="1" thickBot="1">
      <c r="B443" s="210" t="s">
        <v>935</v>
      </c>
      <c r="C443" s="571" t="s">
        <v>944</v>
      </c>
      <c r="D443" s="217"/>
      <c r="E443" s="440" t="s">
        <v>949</v>
      </c>
      <c r="F443" s="605" t="s">
        <v>950</v>
      </c>
      <c r="G443" s="570">
        <v>2025</v>
      </c>
      <c r="H443" s="570">
        <v>2025</v>
      </c>
      <c r="I443" s="197">
        <f>SUM(I444:I447)</f>
        <v>0</v>
      </c>
      <c r="J443" s="197">
        <f>SUM(J444:J447)</f>
        <v>0</v>
      </c>
      <c r="K443" s="197">
        <f>I443+J443</f>
        <v>0</v>
      </c>
      <c r="L443" s="197">
        <f>SUM(L444:L447)</f>
        <v>5433550</v>
      </c>
      <c r="M443" s="197">
        <f>SUM(M444:M447)</f>
        <v>6600000</v>
      </c>
      <c r="N443" s="197">
        <f>L443+M443</f>
        <v>12033550</v>
      </c>
      <c r="O443" s="197">
        <f>SUM(O444:O447)</f>
        <v>0</v>
      </c>
      <c r="P443" s="197">
        <f>SUM(P444:P447)</f>
        <v>0</v>
      </c>
      <c r="Q443" s="197">
        <f>O443+P443</f>
        <v>0</v>
      </c>
      <c r="R443" s="197">
        <f t="shared" ref="R443:S443" si="799">SUM(R444:R447)</f>
        <v>0</v>
      </c>
      <c r="S443" s="197">
        <f t="shared" si="799"/>
        <v>0</v>
      </c>
      <c r="T443" s="197">
        <f>R443+S443</f>
        <v>0</v>
      </c>
      <c r="U443" s="197">
        <f>SUM(U444:U450)</f>
        <v>0</v>
      </c>
      <c r="V443" s="197">
        <f>SUM(V444:V450)</f>
        <v>0</v>
      </c>
      <c r="W443" s="197">
        <f>U443+V443</f>
        <v>0</v>
      </c>
      <c r="X443" s="197">
        <f t="shared" ref="X443:Y443" si="800">SUM(X444:X447)</f>
        <v>0</v>
      </c>
      <c r="Y443" s="197">
        <f t="shared" si="800"/>
        <v>0</v>
      </c>
      <c r="Z443" s="197">
        <f>SUM(X443:Y443)</f>
        <v>0</v>
      </c>
      <c r="AA443" s="197">
        <f>SUM(AA444:AA450)</f>
        <v>0</v>
      </c>
      <c r="AB443" s="197">
        <f>SUM(AB444:AB447)</f>
        <v>0</v>
      </c>
      <c r="AC443" s="197">
        <f>SUM(AA443:AB443)</f>
        <v>0</v>
      </c>
      <c r="AD443" s="197">
        <f t="shared" ref="AD443:AD447" si="801">I443+L443+O443+R443+U443+X443+AA443</f>
        <v>5433550</v>
      </c>
      <c r="AE443" s="197">
        <f t="shared" ref="AE443:AE447" si="802">J443+M443+P443+S443+V443+Y443+AB443</f>
        <v>6600000</v>
      </c>
      <c r="AF443" s="197">
        <f>AD443+AE443</f>
        <v>12033550</v>
      </c>
      <c r="AG443" s="197">
        <f t="shared" ref="AG443:AH443" si="803">SUM(AG444:AG447)</f>
        <v>5433550</v>
      </c>
      <c r="AH443" s="197">
        <f t="shared" si="803"/>
        <v>6600000</v>
      </c>
      <c r="AI443" s="197">
        <f>AG443+AH443</f>
        <v>12033550</v>
      </c>
      <c r="AJ443" s="197">
        <f t="shared" ref="AJ443:AK443" si="804">SUM(AJ444:AJ447)</f>
        <v>0</v>
      </c>
      <c r="AK443" s="197">
        <f t="shared" si="804"/>
        <v>0</v>
      </c>
      <c r="AL443" s="197"/>
      <c r="AM443" s="197">
        <f t="shared" si="775"/>
        <v>0</v>
      </c>
      <c r="AN443" s="197">
        <f t="shared" ref="AN443:AO443" si="805">SUM(AN444:AN447)</f>
        <v>0</v>
      </c>
      <c r="AO443" s="197">
        <f t="shared" si="805"/>
        <v>0</v>
      </c>
      <c r="AP443" s="197">
        <f>AN443+AO443</f>
        <v>0</v>
      </c>
      <c r="AQ443" s="577">
        <f t="shared" si="788"/>
        <v>0</v>
      </c>
      <c r="AR443" s="47"/>
    </row>
    <row r="444" spans="2:44" ht="36" customHeight="1">
      <c r="B444" s="35" t="s">
        <v>940</v>
      </c>
      <c r="C444" s="352" t="s">
        <v>945</v>
      </c>
      <c r="D444" s="92"/>
      <c r="E444" s="323" t="s">
        <v>949</v>
      </c>
      <c r="F444" s="386" t="s">
        <v>950</v>
      </c>
      <c r="G444" s="603">
        <v>2025</v>
      </c>
      <c r="H444" s="603">
        <v>2025</v>
      </c>
      <c r="I444" s="83">
        <v>0</v>
      </c>
      <c r="J444" s="83">
        <v>0</v>
      </c>
      <c r="K444" s="264">
        <f t="shared" ref="K444:K447" si="806">SUM(I444:J444)</f>
        <v>0</v>
      </c>
      <c r="L444" s="83">
        <v>0</v>
      </c>
      <c r="M444" s="83">
        <v>6600000</v>
      </c>
      <c r="N444" s="264">
        <f t="shared" ref="N444:N447" si="807">SUM(L444:M444)</f>
        <v>6600000</v>
      </c>
      <c r="O444" s="83">
        <v>0</v>
      </c>
      <c r="P444" s="83">
        <v>0</v>
      </c>
      <c r="Q444" s="264">
        <f t="shared" ref="Q444:Q447" si="808">SUM(O444:P444)</f>
        <v>0</v>
      </c>
      <c r="R444" s="83">
        <v>0</v>
      </c>
      <c r="S444" s="83">
        <v>0</v>
      </c>
      <c r="T444" s="264">
        <f t="shared" ref="T444:T447" si="809">SUM(R444:S444)</f>
        <v>0</v>
      </c>
      <c r="U444" s="83">
        <v>0</v>
      </c>
      <c r="V444" s="83">
        <v>0</v>
      </c>
      <c r="W444" s="264">
        <f t="shared" ref="W444:W447" si="810">SUM(U444:V444)</f>
        <v>0</v>
      </c>
      <c r="X444" s="83">
        <v>0</v>
      </c>
      <c r="Y444" s="83">
        <v>0</v>
      </c>
      <c r="Z444" s="264">
        <f t="shared" ref="Z444:Z447" si="811">SUM(X444:Y444)</f>
        <v>0</v>
      </c>
      <c r="AA444" s="83">
        <v>0</v>
      </c>
      <c r="AB444" s="83">
        <v>0</v>
      </c>
      <c r="AC444" s="264">
        <f t="shared" ref="AC444:AC447" si="812">SUM(AA444:AB444)</f>
        <v>0</v>
      </c>
      <c r="AD444" s="83">
        <f t="shared" si="801"/>
        <v>0</v>
      </c>
      <c r="AE444" s="83">
        <f t="shared" si="802"/>
        <v>6600000</v>
      </c>
      <c r="AF444" s="264">
        <f t="shared" ref="AF444:AF447" si="813">AD444+AE444</f>
        <v>6600000</v>
      </c>
      <c r="AG444" s="83">
        <v>0</v>
      </c>
      <c r="AH444" s="83">
        <v>6600000</v>
      </c>
      <c r="AI444" s="264">
        <f t="shared" ref="AI444:AI447" si="814">SUM(AG444:AH444)</f>
        <v>6600000</v>
      </c>
      <c r="AJ444" s="83">
        <v>0</v>
      </c>
      <c r="AK444" s="83">
        <v>0</v>
      </c>
      <c r="AL444" s="83"/>
      <c r="AM444" s="264">
        <f t="shared" si="775"/>
        <v>0</v>
      </c>
      <c r="AN444" s="83">
        <v>0</v>
      </c>
      <c r="AO444" s="83">
        <v>0</v>
      </c>
      <c r="AP444" s="264">
        <f t="shared" ref="AP444:AP447" si="815">SUM(AN444:AO444)</f>
        <v>0</v>
      </c>
      <c r="AQ444" s="578">
        <f t="shared" si="788"/>
        <v>0</v>
      </c>
      <c r="AR444" s="47"/>
    </row>
    <row r="445" spans="2:44" ht="36" customHeight="1">
      <c r="B445" s="35" t="s">
        <v>941</v>
      </c>
      <c r="C445" s="353" t="s">
        <v>946</v>
      </c>
      <c r="D445" s="92"/>
      <c r="E445" s="39" t="s">
        <v>949</v>
      </c>
      <c r="F445" s="388" t="s">
        <v>950</v>
      </c>
      <c r="G445" s="604">
        <v>2025</v>
      </c>
      <c r="H445" s="604">
        <v>2025</v>
      </c>
      <c r="I445" s="83">
        <v>0</v>
      </c>
      <c r="J445" s="83">
        <v>0</v>
      </c>
      <c r="K445" s="264">
        <f t="shared" si="806"/>
        <v>0</v>
      </c>
      <c r="L445" s="83">
        <v>2173420</v>
      </c>
      <c r="M445" s="83">
        <v>0</v>
      </c>
      <c r="N445" s="264">
        <f t="shared" si="807"/>
        <v>2173420</v>
      </c>
      <c r="O445" s="83">
        <v>0</v>
      </c>
      <c r="P445" s="83">
        <v>0</v>
      </c>
      <c r="Q445" s="264">
        <f t="shared" si="808"/>
        <v>0</v>
      </c>
      <c r="R445" s="83">
        <v>0</v>
      </c>
      <c r="S445" s="83">
        <v>0</v>
      </c>
      <c r="T445" s="264">
        <f t="shared" si="809"/>
        <v>0</v>
      </c>
      <c r="U445" s="83">
        <v>0</v>
      </c>
      <c r="V445" s="83">
        <v>0</v>
      </c>
      <c r="W445" s="264">
        <f t="shared" si="810"/>
        <v>0</v>
      </c>
      <c r="X445" s="83">
        <v>0</v>
      </c>
      <c r="Y445" s="83">
        <v>0</v>
      </c>
      <c r="Z445" s="264">
        <f t="shared" si="811"/>
        <v>0</v>
      </c>
      <c r="AA445" s="83">
        <v>0</v>
      </c>
      <c r="AB445" s="83">
        <v>0</v>
      </c>
      <c r="AC445" s="264">
        <f t="shared" si="812"/>
        <v>0</v>
      </c>
      <c r="AD445" s="83">
        <f t="shared" si="801"/>
        <v>2173420</v>
      </c>
      <c r="AE445" s="83">
        <f t="shared" si="802"/>
        <v>0</v>
      </c>
      <c r="AF445" s="264">
        <f t="shared" si="813"/>
        <v>2173420</v>
      </c>
      <c r="AG445" s="83">
        <v>2173420</v>
      </c>
      <c r="AH445" s="83">
        <v>0</v>
      </c>
      <c r="AI445" s="264">
        <f t="shared" si="814"/>
        <v>2173420</v>
      </c>
      <c r="AJ445" s="83">
        <v>0</v>
      </c>
      <c r="AK445" s="83">
        <v>0</v>
      </c>
      <c r="AL445" s="83"/>
      <c r="AM445" s="264">
        <f t="shared" si="775"/>
        <v>0</v>
      </c>
      <c r="AN445" s="83"/>
      <c r="AO445" s="83"/>
      <c r="AP445" s="264">
        <f t="shared" si="815"/>
        <v>0</v>
      </c>
      <c r="AQ445" s="578">
        <f t="shared" si="788"/>
        <v>0</v>
      </c>
      <c r="AR445" s="47"/>
    </row>
    <row r="446" spans="2:44" ht="36" customHeight="1">
      <c r="B446" s="35" t="s">
        <v>942</v>
      </c>
      <c r="C446" s="353" t="s">
        <v>947</v>
      </c>
      <c r="D446" s="92"/>
      <c r="E446" s="39" t="s">
        <v>98</v>
      </c>
      <c r="F446" s="388" t="s">
        <v>928</v>
      </c>
      <c r="G446" s="604">
        <v>2025</v>
      </c>
      <c r="H446" s="604">
        <v>2025</v>
      </c>
      <c r="I446" s="83">
        <v>0</v>
      </c>
      <c r="J446" s="83">
        <v>0</v>
      </c>
      <c r="K446" s="264">
        <f t="shared" si="806"/>
        <v>0</v>
      </c>
      <c r="L446" s="83">
        <v>2173420</v>
      </c>
      <c r="M446" s="83">
        <v>0</v>
      </c>
      <c r="N446" s="264">
        <f t="shared" si="807"/>
        <v>2173420</v>
      </c>
      <c r="O446" s="83">
        <v>0</v>
      </c>
      <c r="P446" s="83">
        <v>0</v>
      </c>
      <c r="Q446" s="264">
        <f t="shared" si="808"/>
        <v>0</v>
      </c>
      <c r="R446" s="83">
        <v>0</v>
      </c>
      <c r="S446" s="83">
        <v>0</v>
      </c>
      <c r="T446" s="264">
        <f t="shared" si="809"/>
        <v>0</v>
      </c>
      <c r="U446" s="83">
        <v>0</v>
      </c>
      <c r="V446" s="83">
        <v>0</v>
      </c>
      <c r="W446" s="264">
        <f t="shared" si="810"/>
        <v>0</v>
      </c>
      <c r="X446" s="83">
        <v>0</v>
      </c>
      <c r="Y446" s="83">
        <v>0</v>
      </c>
      <c r="Z446" s="264">
        <f t="shared" si="811"/>
        <v>0</v>
      </c>
      <c r="AA446" s="83">
        <v>0</v>
      </c>
      <c r="AB446" s="83">
        <v>0</v>
      </c>
      <c r="AC446" s="264">
        <f t="shared" si="812"/>
        <v>0</v>
      </c>
      <c r="AD446" s="83">
        <f t="shared" si="801"/>
        <v>2173420</v>
      </c>
      <c r="AE446" s="83">
        <f t="shared" si="802"/>
        <v>0</v>
      </c>
      <c r="AF446" s="264">
        <f t="shared" si="813"/>
        <v>2173420</v>
      </c>
      <c r="AG446" s="83">
        <v>2173420</v>
      </c>
      <c r="AH446" s="83">
        <v>0</v>
      </c>
      <c r="AI446" s="264">
        <f t="shared" si="814"/>
        <v>2173420</v>
      </c>
      <c r="AJ446" s="83">
        <v>0</v>
      </c>
      <c r="AK446" s="83">
        <v>0</v>
      </c>
      <c r="AL446" s="83"/>
      <c r="AM446" s="264">
        <f t="shared" si="775"/>
        <v>0</v>
      </c>
      <c r="AN446" s="83"/>
      <c r="AO446" s="83"/>
      <c r="AP446" s="264">
        <f t="shared" si="815"/>
        <v>0</v>
      </c>
      <c r="AQ446" s="578">
        <f t="shared" si="788"/>
        <v>0</v>
      </c>
      <c r="AR446" s="47"/>
    </row>
    <row r="447" spans="2:44" ht="36" customHeight="1" thickBot="1">
      <c r="B447" s="88" t="s">
        <v>943</v>
      </c>
      <c r="C447" s="354" t="s">
        <v>948</v>
      </c>
      <c r="D447" s="180"/>
      <c r="E447" s="167" t="s">
        <v>949</v>
      </c>
      <c r="F447" s="395"/>
      <c r="G447" s="606">
        <v>2025</v>
      </c>
      <c r="H447" s="606">
        <v>2025</v>
      </c>
      <c r="I447" s="586">
        <v>0</v>
      </c>
      <c r="J447" s="586">
        <v>0</v>
      </c>
      <c r="K447" s="270">
        <f t="shared" si="806"/>
        <v>0</v>
      </c>
      <c r="L447" s="586">
        <v>1086710</v>
      </c>
      <c r="M447" s="586">
        <v>0</v>
      </c>
      <c r="N447" s="270">
        <f t="shared" si="807"/>
        <v>1086710</v>
      </c>
      <c r="O447" s="83">
        <v>0</v>
      </c>
      <c r="P447" s="83">
        <v>0</v>
      </c>
      <c r="Q447" s="270">
        <f t="shared" si="808"/>
        <v>0</v>
      </c>
      <c r="R447" s="83">
        <v>0</v>
      </c>
      <c r="S447" s="83">
        <v>0</v>
      </c>
      <c r="T447" s="270">
        <f t="shared" si="809"/>
        <v>0</v>
      </c>
      <c r="U447" s="83">
        <v>0</v>
      </c>
      <c r="V447" s="83">
        <v>0</v>
      </c>
      <c r="W447" s="270">
        <f t="shared" si="810"/>
        <v>0</v>
      </c>
      <c r="X447" s="83">
        <v>0</v>
      </c>
      <c r="Y447" s="83">
        <v>0</v>
      </c>
      <c r="Z447" s="270">
        <f t="shared" si="811"/>
        <v>0</v>
      </c>
      <c r="AA447" s="83">
        <v>0</v>
      </c>
      <c r="AB447" s="83">
        <v>0</v>
      </c>
      <c r="AC447" s="270">
        <f t="shared" si="812"/>
        <v>0</v>
      </c>
      <c r="AD447" s="83">
        <f t="shared" si="801"/>
        <v>1086710</v>
      </c>
      <c r="AE447" s="83">
        <f t="shared" si="802"/>
        <v>0</v>
      </c>
      <c r="AF447" s="270">
        <f t="shared" si="813"/>
        <v>1086710</v>
      </c>
      <c r="AG447" s="586">
        <v>1086710</v>
      </c>
      <c r="AH447" s="586">
        <v>0</v>
      </c>
      <c r="AI447" s="270">
        <f t="shared" si="814"/>
        <v>1086710</v>
      </c>
      <c r="AJ447" s="83">
        <v>0</v>
      </c>
      <c r="AK447" s="83">
        <v>0</v>
      </c>
      <c r="AL447" s="586"/>
      <c r="AM447" s="270">
        <f t="shared" si="775"/>
        <v>0</v>
      </c>
      <c r="AN447" s="586"/>
      <c r="AO447" s="586"/>
      <c r="AP447" s="270">
        <f t="shared" si="815"/>
        <v>0</v>
      </c>
      <c r="AQ447" s="587">
        <f t="shared" si="788"/>
        <v>0</v>
      </c>
      <c r="AR447" s="47"/>
    </row>
    <row r="448" spans="2:44" ht="58.9" customHeight="1">
      <c r="B448" s="414" t="s">
        <v>951</v>
      </c>
      <c r="C448" s="739" t="s">
        <v>957</v>
      </c>
      <c r="D448" s="416"/>
      <c r="E448" s="748" t="s">
        <v>963</v>
      </c>
      <c r="F448" s="749" t="s">
        <v>961</v>
      </c>
      <c r="G448" s="574">
        <v>2024</v>
      </c>
      <c r="H448" s="570">
        <v>2030</v>
      </c>
      <c r="I448" s="197">
        <f>SUM(I449:I450)</f>
        <v>0</v>
      </c>
      <c r="J448" s="197">
        <f>SUM(J449:J450)</f>
        <v>255000000</v>
      </c>
      <c r="K448" s="197">
        <f>I448+J448</f>
        <v>255000000</v>
      </c>
      <c r="L448" s="197">
        <f>SUM(L449:L450)</f>
        <v>0</v>
      </c>
      <c r="M448" s="197">
        <f>SUM(M449:M450)</f>
        <v>185000000</v>
      </c>
      <c r="N448" s="197">
        <f>L448+M448</f>
        <v>185000000</v>
      </c>
      <c r="O448" s="197">
        <f>SUM(O449:O450)</f>
        <v>0</v>
      </c>
      <c r="P448" s="197">
        <f>SUM(P449:P450)</f>
        <v>185000000</v>
      </c>
      <c r="Q448" s="197">
        <f>O448+P448</f>
        <v>185000000</v>
      </c>
      <c r="R448" s="197">
        <f>SUM(R449:R450)</f>
        <v>0</v>
      </c>
      <c r="S448" s="197">
        <f>SUM(S449:S450)</f>
        <v>87750000</v>
      </c>
      <c r="T448" s="197">
        <f>R448+S448</f>
        <v>87750000</v>
      </c>
      <c r="U448" s="197">
        <f>SUM(U449:U450)</f>
        <v>0</v>
      </c>
      <c r="V448" s="197">
        <f>SUM(V449:V450)</f>
        <v>0</v>
      </c>
      <c r="W448" s="197">
        <f>U448+V448</f>
        <v>0</v>
      </c>
      <c r="X448" s="197">
        <f>SUM(X449:X450)</f>
        <v>0</v>
      </c>
      <c r="Y448" s="197">
        <f>SUM(Y449:Y450)</f>
        <v>0</v>
      </c>
      <c r="Z448" s="197">
        <f>SUM(X448:Y448)</f>
        <v>0</v>
      </c>
      <c r="AA448" s="197">
        <f>SUM(AA449:AA450)</f>
        <v>0</v>
      </c>
      <c r="AB448" s="197">
        <f>SUM(AB449:AB450)</f>
        <v>0</v>
      </c>
      <c r="AC448" s="197">
        <f>SUM(AA448:AB448)</f>
        <v>0</v>
      </c>
      <c r="AD448" s="197">
        <f t="shared" ref="AD448:AD450" si="816">I448+L448+O448+R448+U448+X448+AA448</f>
        <v>0</v>
      </c>
      <c r="AE448" s="197">
        <f t="shared" ref="AE448:AE450" si="817">J448+M448+P448+S448+V448+Y448+AB448</f>
        <v>712750000</v>
      </c>
      <c r="AF448" s="197">
        <f>AD448+AE448</f>
        <v>712750000</v>
      </c>
      <c r="AG448" s="197">
        <f>SUM(AG449:AG450)</f>
        <v>0</v>
      </c>
      <c r="AH448" s="197">
        <f>SUM(AH449:AH450)</f>
        <v>712750000</v>
      </c>
      <c r="AI448" s="197">
        <f>AG448+AH448</f>
        <v>712750000</v>
      </c>
      <c r="AJ448" s="197">
        <f>SUM(AJ449:AJ450)</f>
        <v>0</v>
      </c>
      <c r="AK448" s="197">
        <f>SUM(AK449:AK450)</f>
        <v>0</v>
      </c>
      <c r="AL448" s="197"/>
      <c r="AM448" s="197">
        <f t="shared" ref="AM448:AM450" si="818">AJ448+AK448</f>
        <v>0</v>
      </c>
      <c r="AN448" s="197">
        <f>SUM(AN449:AN450)</f>
        <v>0</v>
      </c>
      <c r="AO448" s="197">
        <f>SUM(AO449:AO450)</f>
        <v>0</v>
      </c>
      <c r="AP448" s="197">
        <f>AN448+AO448</f>
        <v>0</v>
      </c>
      <c r="AQ448" s="577">
        <f t="shared" si="788"/>
        <v>0</v>
      </c>
      <c r="AR448" s="47"/>
    </row>
    <row r="449" spans="2:44" ht="54" customHeight="1">
      <c r="B449" s="35" t="s">
        <v>952</v>
      </c>
      <c r="C449" s="608" t="s">
        <v>958</v>
      </c>
      <c r="D449" s="92"/>
      <c r="E449" s="330" t="s">
        <v>960</v>
      </c>
      <c r="F449" s="330" t="s">
        <v>961</v>
      </c>
      <c r="G449" s="406">
        <v>2024</v>
      </c>
      <c r="H449" s="406">
        <v>2030</v>
      </c>
      <c r="I449" s="83">
        <v>0</v>
      </c>
      <c r="J449" s="83">
        <v>0</v>
      </c>
      <c r="K449" s="264">
        <f t="shared" ref="K449:K450" si="819">SUM(I449:J449)</f>
        <v>0</v>
      </c>
      <c r="L449" s="83">
        <v>0</v>
      </c>
      <c r="M449" s="83">
        <v>0</v>
      </c>
      <c r="N449" s="264">
        <f t="shared" ref="N449:N450" si="820">SUM(L449:M449)</f>
        <v>0</v>
      </c>
      <c r="O449" s="763">
        <v>0</v>
      </c>
      <c r="P449" s="83">
        <v>76500000</v>
      </c>
      <c r="Q449" s="264">
        <f t="shared" ref="Q449:Q450" si="821">SUM(O449:P449)</f>
        <v>76500000</v>
      </c>
      <c r="R449" s="83">
        <v>0</v>
      </c>
      <c r="S449" s="83">
        <v>0</v>
      </c>
      <c r="T449" s="264">
        <f t="shared" ref="T449:T450" si="822">SUM(R449:S449)</f>
        <v>0</v>
      </c>
      <c r="U449" s="83">
        <v>0</v>
      </c>
      <c r="V449" s="83">
        <v>0</v>
      </c>
      <c r="W449" s="264">
        <f t="shared" ref="W449:W450" si="823">SUM(U449:V449)</f>
        <v>0</v>
      </c>
      <c r="X449" s="83">
        <v>0</v>
      </c>
      <c r="Y449" s="83">
        <v>0</v>
      </c>
      <c r="Z449" s="264">
        <f t="shared" ref="Z449:Z450" si="824">SUM(X449:Y449)</f>
        <v>0</v>
      </c>
      <c r="AA449" s="83">
        <v>0</v>
      </c>
      <c r="AB449" s="83">
        <v>0</v>
      </c>
      <c r="AC449" s="264">
        <f t="shared" ref="AC449:AC450" si="825">SUM(AA449:AB449)</f>
        <v>0</v>
      </c>
      <c r="AD449" s="83">
        <f t="shared" si="816"/>
        <v>0</v>
      </c>
      <c r="AE449" s="83">
        <f t="shared" si="817"/>
        <v>76500000</v>
      </c>
      <c r="AF449" s="264">
        <f t="shared" ref="AF449:AF450" si="826">AD449+AE449</f>
        <v>76500000</v>
      </c>
      <c r="AG449" s="83">
        <v>0</v>
      </c>
      <c r="AH449" s="83">
        <v>76500000</v>
      </c>
      <c r="AI449" s="264">
        <f t="shared" ref="AI449:AI450" si="827">SUM(AG449:AH449)</f>
        <v>76500000</v>
      </c>
      <c r="AJ449" s="83">
        <v>0</v>
      </c>
      <c r="AK449" s="83">
        <v>0</v>
      </c>
      <c r="AL449" s="83"/>
      <c r="AM449" s="264">
        <f t="shared" si="818"/>
        <v>0</v>
      </c>
      <c r="AN449" s="83">
        <v>0</v>
      </c>
      <c r="AO449" s="83">
        <v>0</v>
      </c>
      <c r="AP449" s="264">
        <f t="shared" ref="AP449:AP450" si="828">SUM(AN449:AO449)</f>
        <v>0</v>
      </c>
      <c r="AQ449" s="578">
        <f t="shared" si="788"/>
        <v>0</v>
      </c>
      <c r="AR449" s="47"/>
    </row>
    <row r="450" spans="2:44" ht="62.45" customHeight="1">
      <c r="B450" s="35" t="s">
        <v>953</v>
      </c>
      <c r="C450" s="608" t="s">
        <v>959</v>
      </c>
      <c r="D450" s="92"/>
      <c r="E450" s="330" t="s">
        <v>962</v>
      </c>
      <c r="F450" s="330"/>
      <c r="G450" s="406">
        <v>2024</v>
      </c>
      <c r="H450" s="406">
        <v>2030</v>
      </c>
      <c r="I450" s="83">
        <v>0</v>
      </c>
      <c r="J450" s="83">
        <v>255000000</v>
      </c>
      <c r="K450" s="264">
        <f t="shared" si="819"/>
        <v>255000000</v>
      </c>
      <c r="L450" s="83">
        <v>0</v>
      </c>
      <c r="M450" s="83">
        <v>185000000</v>
      </c>
      <c r="N450" s="264">
        <f t="shared" si="820"/>
        <v>185000000</v>
      </c>
      <c r="O450" s="763">
        <v>0</v>
      </c>
      <c r="P450" s="83">
        <v>108500000</v>
      </c>
      <c r="Q450" s="264">
        <f t="shared" si="821"/>
        <v>108500000</v>
      </c>
      <c r="R450" s="763">
        <v>0</v>
      </c>
      <c r="S450" s="83">
        <v>87750000</v>
      </c>
      <c r="T450" s="264">
        <f t="shared" si="822"/>
        <v>87750000</v>
      </c>
      <c r="U450" s="83">
        <v>0</v>
      </c>
      <c r="V450" s="83">
        <v>0</v>
      </c>
      <c r="W450" s="264">
        <f t="shared" si="823"/>
        <v>0</v>
      </c>
      <c r="X450" s="83">
        <v>0</v>
      </c>
      <c r="Y450" s="83">
        <v>0</v>
      </c>
      <c r="Z450" s="264">
        <f t="shared" si="824"/>
        <v>0</v>
      </c>
      <c r="AA450" s="83">
        <v>0</v>
      </c>
      <c r="AB450" s="83">
        <v>0</v>
      </c>
      <c r="AC450" s="264">
        <f t="shared" si="825"/>
        <v>0</v>
      </c>
      <c r="AD450" s="83">
        <f t="shared" si="816"/>
        <v>0</v>
      </c>
      <c r="AE450" s="83">
        <f t="shared" si="817"/>
        <v>636250000</v>
      </c>
      <c r="AF450" s="264">
        <f t="shared" si="826"/>
        <v>636250000</v>
      </c>
      <c r="AG450" s="83"/>
      <c r="AH450" s="83">
        <v>636250000</v>
      </c>
      <c r="AI450" s="264">
        <f t="shared" si="827"/>
        <v>636250000</v>
      </c>
      <c r="AJ450" s="83">
        <v>0</v>
      </c>
      <c r="AK450" s="83">
        <v>0</v>
      </c>
      <c r="AL450" s="83"/>
      <c r="AM450" s="264">
        <f t="shared" si="818"/>
        <v>0</v>
      </c>
      <c r="AN450" s="83">
        <v>0</v>
      </c>
      <c r="AO450" s="83">
        <v>0</v>
      </c>
      <c r="AP450" s="264">
        <f t="shared" si="828"/>
        <v>0</v>
      </c>
      <c r="AQ450" s="578">
        <f t="shared" si="788"/>
        <v>0</v>
      </c>
      <c r="AR450" s="47"/>
    </row>
    <row r="451" spans="2:44" ht="52.9" customHeight="1">
      <c r="B451" s="210" t="s">
        <v>954</v>
      </c>
      <c r="C451" s="571" t="s">
        <v>970</v>
      </c>
      <c r="D451" s="217"/>
      <c r="E451" s="223" t="s">
        <v>928</v>
      </c>
      <c r="F451" s="223" t="s">
        <v>370</v>
      </c>
      <c r="G451" s="570">
        <v>2024</v>
      </c>
      <c r="H451" s="570">
        <v>2024</v>
      </c>
      <c r="I451" s="197">
        <f>SUM(I452)</f>
        <v>1200000</v>
      </c>
      <c r="J451" s="594">
        <f>SUM(J452)</f>
        <v>0</v>
      </c>
      <c r="K451" s="594">
        <f>I451+J451</f>
        <v>1200000</v>
      </c>
      <c r="L451" s="594">
        <f>SUM(L452)</f>
        <v>0</v>
      </c>
      <c r="M451" s="594">
        <f>SUM(M452)</f>
        <v>0</v>
      </c>
      <c r="N451" s="594">
        <f>L451+M451</f>
        <v>0</v>
      </c>
      <c r="O451" s="594">
        <f>SUM(O452)</f>
        <v>0</v>
      </c>
      <c r="P451" s="594">
        <f>SUM(P452)</f>
        <v>0</v>
      </c>
      <c r="Q451" s="594">
        <f>O451+P451</f>
        <v>0</v>
      </c>
      <c r="R451" s="594">
        <f>SUM(R452)</f>
        <v>0</v>
      </c>
      <c r="S451" s="594">
        <f>SUM(S452)</f>
        <v>0</v>
      </c>
      <c r="T451" s="594">
        <f>R451+S451</f>
        <v>0</v>
      </c>
      <c r="U451" s="594">
        <f>SUM(U452)</f>
        <v>0</v>
      </c>
      <c r="V451" s="594">
        <f>SUM(V452)</f>
        <v>0</v>
      </c>
      <c r="W451" s="594">
        <f>U451+V451</f>
        <v>0</v>
      </c>
      <c r="X451" s="594">
        <f>SUM(X452)</f>
        <v>0</v>
      </c>
      <c r="Y451" s="594">
        <f>SUM(Y452)</f>
        <v>0</v>
      </c>
      <c r="Z451" s="594">
        <f>SUM(X451:Y451)</f>
        <v>0</v>
      </c>
      <c r="AA451" s="594">
        <f>SUM(AA452)</f>
        <v>0</v>
      </c>
      <c r="AB451" s="594">
        <f>SUM(AB452)</f>
        <v>0</v>
      </c>
      <c r="AC451" s="594">
        <f>SUM(AA451:AB451)</f>
        <v>0</v>
      </c>
      <c r="AD451" s="594">
        <f t="shared" ref="AD451:AD458" si="829">I451+L451+O451+R451+U451+X451+AA451</f>
        <v>1200000</v>
      </c>
      <c r="AE451" s="594">
        <f t="shared" ref="AE451:AE458" si="830">J451+M451+P451+S451+V451+Y451+AB451</f>
        <v>0</v>
      </c>
      <c r="AF451" s="594">
        <f>AD451+AE451</f>
        <v>1200000</v>
      </c>
      <c r="AG451" s="594">
        <f>SUM(AG452)</f>
        <v>0</v>
      </c>
      <c r="AH451" s="594">
        <f>SUM(AH452)</f>
        <v>0</v>
      </c>
      <c r="AI451" s="594">
        <f>AG451+AH451</f>
        <v>0</v>
      </c>
      <c r="AJ451" s="594">
        <f>SUM(AJ452)</f>
        <v>0</v>
      </c>
      <c r="AK451" s="594">
        <f>SUM(AK452)</f>
        <v>0</v>
      </c>
      <c r="AL451" s="594"/>
      <c r="AM451" s="594">
        <f t="shared" ref="AM451:AM461" si="831">AJ451+AK451</f>
        <v>0</v>
      </c>
      <c r="AN451" s="594">
        <f>SUM(AN452)</f>
        <v>0</v>
      </c>
      <c r="AO451" s="594">
        <f>SUM(AO452)</f>
        <v>0</v>
      </c>
      <c r="AP451" s="594">
        <f>AN451+AO451</f>
        <v>0</v>
      </c>
      <c r="AQ451" s="577">
        <f t="shared" ref="AQ451:AQ461" si="832">SUM(AP451+AM451+AI451)-AF451</f>
        <v>-1200000</v>
      </c>
      <c r="AR451" s="47"/>
    </row>
    <row r="452" spans="2:44" ht="81.599999999999994" customHeight="1">
      <c r="B452" s="35" t="s">
        <v>955</v>
      </c>
      <c r="C452" s="572" t="s">
        <v>971</v>
      </c>
      <c r="D452" s="92"/>
      <c r="E452" s="120" t="s">
        <v>928</v>
      </c>
      <c r="F452" s="120" t="s">
        <v>370</v>
      </c>
      <c r="G452" s="406">
        <v>2024</v>
      </c>
      <c r="H452" s="406">
        <v>2024</v>
      </c>
      <c r="I452" s="83">
        <v>1200000</v>
      </c>
      <c r="J452" s="83">
        <v>0</v>
      </c>
      <c r="K452" s="264">
        <f t="shared" ref="K452" si="833">SUM(I452:J452)</f>
        <v>1200000</v>
      </c>
      <c r="L452" s="83">
        <v>0</v>
      </c>
      <c r="M452" s="83">
        <v>0</v>
      </c>
      <c r="N452" s="264">
        <f t="shared" ref="N452" si="834">SUM(L452:M452)</f>
        <v>0</v>
      </c>
      <c r="O452" s="83">
        <v>0</v>
      </c>
      <c r="P452" s="83">
        <v>0</v>
      </c>
      <c r="Q452" s="264">
        <f t="shared" ref="Q452" si="835">SUM(O452:P452)</f>
        <v>0</v>
      </c>
      <c r="R452" s="305">
        <v>0</v>
      </c>
      <c r="S452" s="305">
        <v>0</v>
      </c>
      <c r="T452" s="264">
        <f t="shared" ref="T452" si="836">SUM(R452:S452)</f>
        <v>0</v>
      </c>
      <c r="U452" s="83">
        <v>0</v>
      </c>
      <c r="V452" s="83">
        <v>0</v>
      </c>
      <c r="W452" s="264">
        <f t="shared" ref="W452" si="837">SUM(U452:V452)</f>
        <v>0</v>
      </c>
      <c r="X452" s="83">
        <v>0</v>
      </c>
      <c r="Y452" s="83">
        <v>0</v>
      </c>
      <c r="Z452" s="264">
        <f t="shared" ref="Z452" si="838">SUM(X452:Y452)</f>
        <v>0</v>
      </c>
      <c r="AA452" s="83">
        <v>0</v>
      </c>
      <c r="AB452" s="83">
        <v>0</v>
      </c>
      <c r="AC452" s="264">
        <f t="shared" ref="AC452" si="839">SUM(AA452:AB452)</f>
        <v>0</v>
      </c>
      <c r="AD452" s="83">
        <f t="shared" si="829"/>
        <v>1200000</v>
      </c>
      <c r="AE452" s="83">
        <f t="shared" si="830"/>
        <v>0</v>
      </c>
      <c r="AF452" s="264">
        <f t="shared" ref="AF452" si="840">AD452+AE452</f>
        <v>1200000</v>
      </c>
      <c r="AG452" s="83">
        <v>0</v>
      </c>
      <c r="AH452" s="83">
        <v>0</v>
      </c>
      <c r="AI452" s="264">
        <f t="shared" ref="AI452" si="841">SUM(AG452:AH452)</f>
        <v>0</v>
      </c>
      <c r="AJ452" s="83">
        <v>0</v>
      </c>
      <c r="AK452" s="83">
        <v>0</v>
      </c>
      <c r="AL452" s="83"/>
      <c r="AM452" s="264">
        <f t="shared" si="831"/>
        <v>0</v>
      </c>
      <c r="AN452" s="83">
        <v>0</v>
      </c>
      <c r="AO452" s="83">
        <v>0</v>
      </c>
      <c r="AP452" s="264">
        <f t="shared" ref="AP452" si="842">SUM(AN452:AO452)</f>
        <v>0</v>
      </c>
      <c r="AQ452" s="578">
        <f t="shared" si="832"/>
        <v>-1200000</v>
      </c>
      <c r="AR452" s="47"/>
    </row>
    <row r="453" spans="2:44" ht="61.15" customHeight="1" thickBot="1">
      <c r="B453" s="596" t="s">
        <v>956</v>
      </c>
      <c r="C453" s="597" t="s">
        <v>975</v>
      </c>
      <c r="D453" s="598"/>
      <c r="E453" s="448" t="s">
        <v>981</v>
      </c>
      <c r="F453" s="750" t="s">
        <v>982</v>
      </c>
      <c r="G453" s="601">
        <v>2024</v>
      </c>
      <c r="H453" s="601">
        <v>2030</v>
      </c>
      <c r="I453" s="594">
        <f>SUM(I454:I458)</f>
        <v>808170</v>
      </c>
      <c r="J453" s="594">
        <f>SUM(J454:J458)</f>
        <v>0</v>
      </c>
      <c r="K453" s="197">
        <f>I453+J453</f>
        <v>808170</v>
      </c>
      <c r="L453" s="197">
        <f t="shared" ref="L453:M453" si="843">SUM(L454:L458)</f>
        <v>808170</v>
      </c>
      <c r="M453" s="197">
        <f t="shared" si="843"/>
        <v>0</v>
      </c>
      <c r="N453" s="197">
        <f>L453+M453</f>
        <v>808170</v>
      </c>
      <c r="O453" s="197">
        <f t="shared" ref="O453:P453" si="844">SUM(O454:O458)</f>
        <v>808170</v>
      </c>
      <c r="P453" s="197">
        <f t="shared" si="844"/>
        <v>0</v>
      </c>
      <c r="Q453" s="197">
        <f>O453+P453</f>
        <v>808170</v>
      </c>
      <c r="R453" s="594">
        <f t="shared" ref="R453:S453" si="845">SUM(R454:R458)</f>
        <v>808170</v>
      </c>
      <c r="S453" s="594">
        <f t="shared" si="845"/>
        <v>0</v>
      </c>
      <c r="T453" s="197">
        <f>R453+S453</f>
        <v>808170</v>
      </c>
      <c r="U453" s="197">
        <f t="shared" ref="U453:V453" si="846">SUM(U454:U458)</f>
        <v>808170</v>
      </c>
      <c r="V453" s="197">
        <f t="shared" si="846"/>
        <v>0</v>
      </c>
      <c r="W453" s="197">
        <f>U453+V453</f>
        <v>808170</v>
      </c>
      <c r="X453" s="197">
        <f t="shared" ref="X453:Y453" si="847">SUM(X454:X458)</f>
        <v>808170</v>
      </c>
      <c r="Y453" s="197">
        <f t="shared" si="847"/>
        <v>0</v>
      </c>
      <c r="Z453" s="197">
        <f>SUM(X453:Y453)</f>
        <v>808170</v>
      </c>
      <c r="AA453" s="197">
        <f t="shared" ref="AA453:AB453" si="848">SUM(AA454:AA458)</f>
        <v>808170</v>
      </c>
      <c r="AB453" s="197">
        <f t="shared" si="848"/>
        <v>0</v>
      </c>
      <c r="AC453" s="197">
        <f>SUM(AA453:AB453)</f>
        <v>808170</v>
      </c>
      <c r="AD453" s="197">
        <f t="shared" si="829"/>
        <v>5657190</v>
      </c>
      <c r="AE453" s="197">
        <f t="shared" si="830"/>
        <v>0</v>
      </c>
      <c r="AF453" s="197">
        <f>AD453+AE453</f>
        <v>5657190</v>
      </c>
      <c r="AG453" s="197">
        <f>SUM(AG454:AG458)</f>
        <v>2424510</v>
      </c>
      <c r="AH453" s="197">
        <f>SUM(AH454:AH458)</f>
        <v>0</v>
      </c>
      <c r="AI453" s="197">
        <f>AG453+AH453</f>
        <v>2424510</v>
      </c>
      <c r="AJ453" s="197">
        <f t="shared" ref="AJ453:AK453" si="849">SUM(AJ454:AJ458)</f>
        <v>0</v>
      </c>
      <c r="AK453" s="197">
        <f t="shared" si="849"/>
        <v>0</v>
      </c>
      <c r="AL453" s="197"/>
      <c r="AM453" s="197">
        <f t="shared" si="831"/>
        <v>0</v>
      </c>
      <c r="AN453" s="197">
        <f t="shared" ref="AN453:AO453" si="850">SUM(AN454:AN458)</f>
        <v>3232680</v>
      </c>
      <c r="AO453" s="197">
        <f t="shared" si="850"/>
        <v>0</v>
      </c>
      <c r="AP453" s="197">
        <f>AN453+AO453</f>
        <v>3232680</v>
      </c>
      <c r="AQ453" s="577">
        <f t="shared" si="832"/>
        <v>0</v>
      </c>
      <c r="AR453" s="47"/>
    </row>
    <row r="454" spans="2:44" ht="36" customHeight="1">
      <c r="B454" s="87" t="s">
        <v>964</v>
      </c>
      <c r="C454" s="337" t="s">
        <v>976</v>
      </c>
      <c r="D454" s="599"/>
      <c r="E454" s="329" t="s">
        <v>981</v>
      </c>
      <c r="F454" s="584"/>
      <c r="G454" s="406">
        <v>2024</v>
      </c>
      <c r="H454" s="406">
        <v>2030</v>
      </c>
      <c r="I454" s="83">
        <v>808170</v>
      </c>
      <c r="J454" s="83">
        <v>0</v>
      </c>
      <c r="K454" s="264">
        <f t="shared" ref="K454:K458" si="851">SUM(I454:J454)</f>
        <v>808170</v>
      </c>
      <c r="L454" s="83">
        <v>808170</v>
      </c>
      <c r="M454" s="83">
        <v>0</v>
      </c>
      <c r="N454" s="264">
        <f t="shared" ref="N454:N458" si="852">SUM(L454:M454)</f>
        <v>808170</v>
      </c>
      <c r="O454" s="83">
        <v>808170</v>
      </c>
      <c r="P454" s="83">
        <v>0</v>
      </c>
      <c r="Q454" s="264">
        <f t="shared" ref="Q454:Q458" si="853">SUM(O454:P454)</f>
        <v>808170</v>
      </c>
      <c r="R454" s="83">
        <v>808170</v>
      </c>
      <c r="S454" s="83">
        <v>0</v>
      </c>
      <c r="T454" s="264">
        <f t="shared" ref="T454:T458" si="854">SUM(R454:S454)</f>
        <v>808170</v>
      </c>
      <c r="U454" s="83">
        <v>808170</v>
      </c>
      <c r="V454" s="83">
        <v>0</v>
      </c>
      <c r="W454" s="264">
        <f t="shared" ref="W454:W458" si="855">SUM(U454:V454)</f>
        <v>808170</v>
      </c>
      <c r="X454" s="83">
        <v>808170</v>
      </c>
      <c r="Y454" s="83">
        <v>0</v>
      </c>
      <c r="Z454" s="264">
        <f t="shared" ref="Z454:Z458" si="856">SUM(X454:Y454)</f>
        <v>808170</v>
      </c>
      <c r="AA454" s="83">
        <v>808170</v>
      </c>
      <c r="AB454" s="83">
        <v>0</v>
      </c>
      <c r="AC454" s="264">
        <f t="shared" ref="AC454:AC458" si="857">SUM(AA454:AB454)</f>
        <v>808170</v>
      </c>
      <c r="AD454" s="83">
        <f t="shared" si="829"/>
        <v>5657190</v>
      </c>
      <c r="AE454" s="83">
        <f t="shared" si="830"/>
        <v>0</v>
      </c>
      <c r="AF454" s="264">
        <f t="shared" ref="AF454:AF458" si="858">AD454+AE454</f>
        <v>5657190</v>
      </c>
      <c r="AG454" s="83">
        <f>808170*3</f>
        <v>2424510</v>
      </c>
      <c r="AH454" s="83">
        <v>0</v>
      </c>
      <c r="AI454" s="264">
        <f t="shared" ref="AI454:AI458" si="859">SUM(AG454:AH454)</f>
        <v>2424510</v>
      </c>
      <c r="AJ454" s="83">
        <v>0</v>
      </c>
      <c r="AK454" s="83">
        <v>0</v>
      </c>
      <c r="AL454" s="83"/>
      <c r="AM454" s="264">
        <f t="shared" si="831"/>
        <v>0</v>
      </c>
      <c r="AN454" s="83">
        <f>808170*4</f>
        <v>3232680</v>
      </c>
      <c r="AO454" s="83">
        <v>0</v>
      </c>
      <c r="AP454" s="264">
        <f t="shared" ref="AP454:AP458" si="860">SUM(AN454:AO454)</f>
        <v>3232680</v>
      </c>
      <c r="AQ454" s="578">
        <f t="shared" si="832"/>
        <v>0</v>
      </c>
      <c r="AR454" s="47"/>
    </row>
    <row r="455" spans="2:44" ht="36" customHeight="1">
      <c r="B455" s="87" t="s">
        <v>965</v>
      </c>
      <c r="C455" s="327" t="s">
        <v>977</v>
      </c>
      <c r="D455" s="92"/>
      <c r="E455" s="330" t="s">
        <v>981</v>
      </c>
      <c r="F455" s="457" t="s">
        <v>1606</v>
      </c>
      <c r="G455" s="406">
        <v>2026</v>
      </c>
      <c r="H455" s="406">
        <v>2026</v>
      </c>
      <c r="I455" s="83">
        <v>0</v>
      </c>
      <c r="J455" s="763">
        <v>0</v>
      </c>
      <c r="K455" s="264">
        <f t="shared" si="851"/>
        <v>0</v>
      </c>
      <c r="L455" s="83">
        <v>0</v>
      </c>
      <c r="M455" s="83">
        <v>0</v>
      </c>
      <c r="N455" s="264">
        <f t="shared" si="852"/>
        <v>0</v>
      </c>
      <c r="O455" s="83">
        <v>0</v>
      </c>
      <c r="P455" s="83">
        <v>0</v>
      </c>
      <c r="Q455" s="264">
        <f t="shared" si="853"/>
        <v>0</v>
      </c>
      <c r="R455" s="83">
        <v>0</v>
      </c>
      <c r="S455" s="83">
        <v>0</v>
      </c>
      <c r="T455" s="264">
        <f t="shared" si="854"/>
        <v>0</v>
      </c>
      <c r="U455" s="83">
        <v>0</v>
      </c>
      <c r="V455" s="83">
        <v>0</v>
      </c>
      <c r="W455" s="264">
        <f t="shared" si="855"/>
        <v>0</v>
      </c>
      <c r="X455" s="83">
        <v>0</v>
      </c>
      <c r="Y455" s="83">
        <v>0</v>
      </c>
      <c r="Z455" s="264">
        <f t="shared" si="856"/>
        <v>0</v>
      </c>
      <c r="AA455" s="83">
        <v>0</v>
      </c>
      <c r="AB455" s="83">
        <v>0</v>
      </c>
      <c r="AC455" s="264">
        <f t="shared" si="857"/>
        <v>0</v>
      </c>
      <c r="AD455" s="83">
        <f t="shared" si="829"/>
        <v>0</v>
      </c>
      <c r="AE455" s="83">
        <f t="shared" si="830"/>
        <v>0</v>
      </c>
      <c r="AF455" s="264">
        <f t="shared" si="858"/>
        <v>0</v>
      </c>
      <c r="AG455" s="83">
        <v>0</v>
      </c>
      <c r="AH455" s="83">
        <v>0</v>
      </c>
      <c r="AI455" s="264">
        <f t="shared" si="859"/>
        <v>0</v>
      </c>
      <c r="AJ455" s="83">
        <v>0</v>
      </c>
      <c r="AK455" s="83">
        <v>0</v>
      </c>
      <c r="AL455" s="83"/>
      <c r="AM455" s="264">
        <f t="shared" si="831"/>
        <v>0</v>
      </c>
      <c r="AN455" s="83">
        <v>0</v>
      </c>
      <c r="AO455" s="83">
        <v>0</v>
      </c>
      <c r="AP455" s="264">
        <f t="shared" si="860"/>
        <v>0</v>
      </c>
      <c r="AQ455" s="578">
        <f t="shared" si="832"/>
        <v>0</v>
      </c>
      <c r="AR455" s="47"/>
    </row>
    <row r="456" spans="2:44" ht="36" customHeight="1">
      <c r="B456" s="87" t="s">
        <v>966</v>
      </c>
      <c r="C456" s="327" t="s">
        <v>978</v>
      </c>
      <c r="D456" s="92"/>
      <c r="E456" s="330" t="s">
        <v>981</v>
      </c>
      <c r="F456" s="457"/>
      <c r="G456" s="406">
        <v>2025</v>
      </c>
      <c r="H456" s="406">
        <v>2025</v>
      </c>
      <c r="I456" s="83">
        <v>0</v>
      </c>
      <c r="J456" s="763">
        <v>0</v>
      </c>
      <c r="K456" s="264">
        <f t="shared" si="851"/>
        <v>0</v>
      </c>
      <c r="L456" s="83">
        <v>0</v>
      </c>
      <c r="M456" s="83">
        <v>0</v>
      </c>
      <c r="N456" s="264">
        <f t="shared" si="852"/>
        <v>0</v>
      </c>
      <c r="O456" s="83">
        <v>0</v>
      </c>
      <c r="P456" s="83">
        <v>0</v>
      </c>
      <c r="Q456" s="264">
        <f t="shared" si="853"/>
        <v>0</v>
      </c>
      <c r="R456" s="83">
        <v>0</v>
      </c>
      <c r="S456" s="83">
        <v>0</v>
      </c>
      <c r="T456" s="264">
        <f t="shared" si="854"/>
        <v>0</v>
      </c>
      <c r="U456" s="83">
        <v>0</v>
      </c>
      <c r="V456" s="83">
        <v>0</v>
      </c>
      <c r="W456" s="264">
        <f t="shared" si="855"/>
        <v>0</v>
      </c>
      <c r="X456" s="83">
        <v>0</v>
      </c>
      <c r="Y456" s="83">
        <v>0</v>
      </c>
      <c r="Z456" s="264">
        <f t="shared" si="856"/>
        <v>0</v>
      </c>
      <c r="AA456" s="83">
        <v>0</v>
      </c>
      <c r="AB456" s="83">
        <v>0</v>
      </c>
      <c r="AC456" s="264">
        <f t="shared" si="857"/>
        <v>0</v>
      </c>
      <c r="AD456" s="83">
        <f t="shared" si="829"/>
        <v>0</v>
      </c>
      <c r="AE456" s="83">
        <f t="shared" si="830"/>
        <v>0</v>
      </c>
      <c r="AF456" s="264">
        <f t="shared" si="858"/>
        <v>0</v>
      </c>
      <c r="AG456" s="83">
        <v>0</v>
      </c>
      <c r="AH456" s="83">
        <v>0</v>
      </c>
      <c r="AI456" s="264">
        <f t="shared" si="859"/>
        <v>0</v>
      </c>
      <c r="AJ456" s="83">
        <v>0</v>
      </c>
      <c r="AK456" s="83">
        <v>0</v>
      </c>
      <c r="AL456" s="83"/>
      <c r="AM456" s="264">
        <f t="shared" si="831"/>
        <v>0</v>
      </c>
      <c r="AN456" s="83">
        <v>0</v>
      </c>
      <c r="AO456" s="83">
        <v>0</v>
      </c>
      <c r="AP456" s="264">
        <f t="shared" si="860"/>
        <v>0</v>
      </c>
      <c r="AQ456" s="578">
        <f t="shared" si="832"/>
        <v>0</v>
      </c>
      <c r="AR456" s="47"/>
    </row>
    <row r="457" spans="2:44" ht="36" customHeight="1">
      <c r="B457" s="87" t="s">
        <v>967</v>
      </c>
      <c r="C457" s="327" t="s">
        <v>979</v>
      </c>
      <c r="D457" s="92"/>
      <c r="E457" s="330" t="s">
        <v>69</v>
      </c>
      <c r="F457" s="457" t="s">
        <v>983</v>
      </c>
      <c r="G457" s="406">
        <v>2026</v>
      </c>
      <c r="H457" s="406">
        <v>2026</v>
      </c>
      <c r="I457" s="83">
        <v>0</v>
      </c>
      <c r="J457" s="763">
        <v>0</v>
      </c>
      <c r="K457" s="264">
        <f t="shared" si="851"/>
        <v>0</v>
      </c>
      <c r="L457" s="83">
        <v>0</v>
      </c>
      <c r="M457" s="83">
        <v>0</v>
      </c>
      <c r="N457" s="264">
        <f t="shared" si="852"/>
        <v>0</v>
      </c>
      <c r="O457" s="83">
        <v>0</v>
      </c>
      <c r="P457" s="83">
        <v>0</v>
      </c>
      <c r="Q457" s="264">
        <f t="shared" si="853"/>
        <v>0</v>
      </c>
      <c r="R457" s="83">
        <v>0</v>
      </c>
      <c r="S457" s="83">
        <v>0</v>
      </c>
      <c r="T457" s="264">
        <f t="shared" si="854"/>
        <v>0</v>
      </c>
      <c r="U457" s="83">
        <v>0</v>
      </c>
      <c r="V457" s="83">
        <v>0</v>
      </c>
      <c r="W457" s="264">
        <f t="shared" si="855"/>
        <v>0</v>
      </c>
      <c r="X457" s="83">
        <v>0</v>
      </c>
      <c r="Y457" s="83">
        <v>0</v>
      </c>
      <c r="Z457" s="264">
        <f t="shared" si="856"/>
        <v>0</v>
      </c>
      <c r="AA457" s="83">
        <v>0</v>
      </c>
      <c r="AB457" s="83">
        <v>0</v>
      </c>
      <c r="AC457" s="264">
        <f t="shared" si="857"/>
        <v>0</v>
      </c>
      <c r="AD457" s="83">
        <f t="shared" si="829"/>
        <v>0</v>
      </c>
      <c r="AE457" s="83">
        <f t="shared" si="830"/>
        <v>0</v>
      </c>
      <c r="AF457" s="264">
        <f t="shared" si="858"/>
        <v>0</v>
      </c>
      <c r="AG457" s="83">
        <v>0</v>
      </c>
      <c r="AH457" s="83">
        <v>0</v>
      </c>
      <c r="AI457" s="264">
        <f t="shared" si="859"/>
        <v>0</v>
      </c>
      <c r="AJ457" s="83">
        <v>0</v>
      </c>
      <c r="AK457" s="83">
        <v>0</v>
      </c>
      <c r="AL457" s="83"/>
      <c r="AM457" s="264">
        <f t="shared" si="831"/>
        <v>0</v>
      </c>
      <c r="AN457" s="83">
        <v>0</v>
      </c>
      <c r="AO457" s="83">
        <v>0</v>
      </c>
      <c r="AP457" s="264">
        <f t="shared" si="860"/>
        <v>0</v>
      </c>
      <c r="AQ457" s="578">
        <f t="shared" si="832"/>
        <v>0</v>
      </c>
      <c r="AR457" s="47"/>
    </row>
    <row r="458" spans="2:44" ht="36" customHeight="1">
      <c r="B458" s="87" t="s">
        <v>968</v>
      </c>
      <c r="C458" s="575" t="s">
        <v>980</v>
      </c>
      <c r="D458" s="92"/>
      <c r="E458" s="330" t="s">
        <v>981</v>
      </c>
      <c r="F458" s="561" t="s">
        <v>984</v>
      </c>
      <c r="G458" s="406">
        <v>2026</v>
      </c>
      <c r="H458" s="406">
        <v>2026</v>
      </c>
      <c r="I458" s="83">
        <v>0</v>
      </c>
      <c r="J458" s="763">
        <v>0</v>
      </c>
      <c r="K458" s="264">
        <f t="shared" si="851"/>
        <v>0</v>
      </c>
      <c r="L458" s="83">
        <v>0</v>
      </c>
      <c r="M458" s="83">
        <v>0</v>
      </c>
      <c r="N458" s="264">
        <f t="shared" si="852"/>
        <v>0</v>
      </c>
      <c r="O458" s="83">
        <v>0</v>
      </c>
      <c r="P458" s="83">
        <v>0</v>
      </c>
      <c r="Q458" s="264">
        <f t="shared" si="853"/>
        <v>0</v>
      </c>
      <c r="R458" s="83">
        <v>0</v>
      </c>
      <c r="S458" s="83">
        <v>0</v>
      </c>
      <c r="T458" s="264">
        <f t="shared" si="854"/>
        <v>0</v>
      </c>
      <c r="U458" s="83">
        <v>0</v>
      </c>
      <c r="V458" s="83">
        <v>0</v>
      </c>
      <c r="W458" s="264">
        <f t="shared" si="855"/>
        <v>0</v>
      </c>
      <c r="X458" s="83">
        <v>0</v>
      </c>
      <c r="Y458" s="83">
        <v>0</v>
      </c>
      <c r="Z458" s="264">
        <f t="shared" si="856"/>
        <v>0</v>
      </c>
      <c r="AA458" s="83">
        <v>0</v>
      </c>
      <c r="AB458" s="83">
        <v>0</v>
      </c>
      <c r="AC458" s="264">
        <f t="shared" si="857"/>
        <v>0</v>
      </c>
      <c r="AD458" s="83">
        <f t="shared" si="829"/>
        <v>0</v>
      </c>
      <c r="AE458" s="83">
        <f t="shared" si="830"/>
        <v>0</v>
      </c>
      <c r="AF458" s="264">
        <f t="shared" si="858"/>
        <v>0</v>
      </c>
      <c r="AG458" s="83">
        <v>0</v>
      </c>
      <c r="AH458" s="83">
        <v>0</v>
      </c>
      <c r="AI458" s="264">
        <f t="shared" si="859"/>
        <v>0</v>
      </c>
      <c r="AJ458" s="83">
        <v>0</v>
      </c>
      <c r="AK458" s="83">
        <v>0</v>
      </c>
      <c r="AL458" s="83"/>
      <c r="AM458" s="264">
        <f t="shared" si="831"/>
        <v>0</v>
      </c>
      <c r="AN458" s="83">
        <v>0</v>
      </c>
      <c r="AO458" s="83">
        <v>0</v>
      </c>
      <c r="AP458" s="264">
        <f t="shared" si="860"/>
        <v>0</v>
      </c>
      <c r="AQ458" s="578">
        <f t="shared" si="832"/>
        <v>0</v>
      </c>
      <c r="AR458" s="47"/>
    </row>
    <row r="459" spans="2:44" ht="57.6" customHeight="1">
      <c r="B459" s="413" t="s">
        <v>969</v>
      </c>
      <c r="C459" s="573" t="s">
        <v>985</v>
      </c>
      <c r="D459" s="612"/>
      <c r="E459" s="609" t="s">
        <v>928</v>
      </c>
      <c r="F459" s="610" t="s">
        <v>984</v>
      </c>
      <c r="G459" s="570">
        <v>2024</v>
      </c>
      <c r="H459" s="570">
        <v>2030</v>
      </c>
      <c r="I459" s="197">
        <f>SUM(I460:I461)</f>
        <v>3260130</v>
      </c>
      <c r="J459" s="197">
        <f>SUM(J460:J461)</f>
        <v>0</v>
      </c>
      <c r="K459" s="197">
        <f>I459+J459</f>
        <v>3260130</v>
      </c>
      <c r="L459" s="197">
        <f>SUM(L460:L461)</f>
        <v>3260130</v>
      </c>
      <c r="M459" s="197">
        <f>SUM(M460:M461)</f>
        <v>0</v>
      </c>
      <c r="N459" s="197">
        <f>L459+M459</f>
        <v>3260130</v>
      </c>
      <c r="O459" s="197">
        <f>SUM(O460:O461)</f>
        <v>3260130</v>
      </c>
      <c r="P459" s="197">
        <f>SUM(P460:P461)</f>
        <v>0</v>
      </c>
      <c r="Q459" s="197">
        <f>O459+P459</f>
        <v>3260130</v>
      </c>
      <c r="R459" s="594">
        <f>SUM(R460:R461)</f>
        <v>3260130</v>
      </c>
      <c r="S459" s="594">
        <f>SUM(S460:S461)</f>
        <v>0</v>
      </c>
      <c r="T459" s="197">
        <f>R459+S459</f>
        <v>3260130</v>
      </c>
      <c r="U459" s="197">
        <f>SUM(U460:U461)</f>
        <v>3260130</v>
      </c>
      <c r="V459" s="197">
        <f>SUM(V460:V461)</f>
        <v>0</v>
      </c>
      <c r="W459" s="197">
        <f>U459+V459</f>
        <v>3260130</v>
      </c>
      <c r="X459" s="197">
        <f>SUM(X460:X461)</f>
        <v>3260130</v>
      </c>
      <c r="Y459" s="197">
        <f>SUM(Y460:Y461)</f>
        <v>0</v>
      </c>
      <c r="Z459" s="197">
        <f>SUM(X459:Y459)</f>
        <v>3260130</v>
      </c>
      <c r="AA459" s="197">
        <f>SUM(AA460:AA461)</f>
        <v>3260130</v>
      </c>
      <c r="AB459" s="197">
        <f>SUM(AB460:AB461)</f>
        <v>0</v>
      </c>
      <c r="AC459" s="197">
        <f>SUM(AA459:AB459)</f>
        <v>3260130</v>
      </c>
      <c r="AD459" s="197">
        <f t="shared" ref="AD459:AD461" si="861">I459+L459+O459+R459+U459+X459+AA459</f>
        <v>22820910</v>
      </c>
      <c r="AE459" s="197">
        <f t="shared" ref="AE459:AE461" si="862">J459+M459+P459+S459+V459+Y459+AB459</f>
        <v>0</v>
      </c>
      <c r="AF459" s="197">
        <f>AD459+AE459</f>
        <v>22820910</v>
      </c>
      <c r="AG459" s="197">
        <f>SUM(AG460:AG461)</f>
        <v>9780390</v>
      </c>
      <c r="AH459" s="197">
        <f>SUM(AH460:AH461)</f>
        <v>0</v>
      </c>
      <c r="AI459" s="197">
        <f>AG459+AH459</f>
        <v>9780390</v>
      </c>
      <c r="AJ459" s="197">
        <f>SUM(AJ460:AJ461)</f>
        <v>0</v>
      </c>
      <c r="AK459" s="197">
        <f>SUM(AK460:AK461)</f>
        <v>0</v>
      </c>
      <c r="AL459" s="197"/>
      <c r="AM459" s="197">
        <f t="shared" si="831"/>
        <v>0</v>
      </c>
      <c r="AN459" s="197">
        <f>SUM(AN460:AN461)</f>
        <v>13040520</v>
      </c>
      <c r="AO459" s="197">
        <f>SUM(AO460:AO461)</f>
        <v>0</v>
      </c>
      <c r="AP459" s="197">
        <f>AN459+AO459</f>
        <v>13040520</v>
      </c>
      <c r="AQ459" s="577">
        <f t="shared" si="832"/>
        <v>0</v>
      </c>
      <c r="AR459" s="47"/>
    </row>
    <row r="460" spans="2:44" ht="36" customHeight="1">
      <c r="B460" s="35" t="s">
        <v>972</v>
      </c>
      <c r="C460" s="575" t="s">
        <v>986</v>
      </c>
      <c r="D460" s="63"/>
      <c r="E460" s="552" t="s">
        <v>928</v>
      </c>
      <c r="F460" s="552"/>
      <c r="G460" s="611">
        <v>2024</v>
      </c>
      <c r="H460" s="406">
        <v>2030</v>
      </c>
      <c r="I460" s="83">
        <v>2173420</v>
      </c>
      <c r="J460" s="83">
        <v>0</v>
      </c>
      <c r="K460" s="264">
        <f t="shared" ref="K460:K461" si="863">SUM(I460:J460)</f>
        <v>2173420</v>
      </c>
      <c r="L460" s="83">
        <v>2173420</v>
      </c>
      <c r="M460" s="83">
        <v>0</v>
      </c>
      <c r="N460" s="264">
        <f t="shared" ref="N460:N461" si="864">SUM(L460:M460)</f>
        <v>2173420</v>
      </c>
      <c r="O460" s="83">
        <v>2173420</v>
      </c>
      <c r="P460" s="83">
        <v>0</v>
      </c>
      <c r="Q460" s="264">
        <f t="shared" ref="Q460:Q461" si="865">SUM(O460:P460)</f>
        <v>2173420</v>
      </c>
      <c r="R460" s="83">
        <v>2173420</v>
      </c>
      <c r="S460" s="83">
        <v>0</v>
      </c>
      <c r="T460" s="264">
        <f t="shared" ref="T460:T461" si="866">SUM(R460:S460)</f>
        <v>2173420</v>
      </c>
      <c r="U460" s="83">
        <v>2173420</v>
      </c>
      <c r="V460" s="83">
        <v>0</v>
      </c>
      <c r="W460" s="264">
        <f t="shared" ref="W460:W461" si="867">SUM(U460:V460)</f>
        <v>2173420</v>
      </c>
      <c r="X460" s="83">
        <v>2173420</v>
      </c>
      <c r="Y460" s="83">
        <v>0</v>
      </c>
      <c r="Z460" s="264">
        <f t="shared" ref="Z460:Z461" si="868">SUM(X460:Y460)</f>
        <v>2173420</v>
      </c>
      <c r="AA460" s="83">
        <v>2173420</v>
      </c>
      <c r="AB460" s="83">
        <v>0</v>
      </c>
      <c r="AC460" s="264">
        <f t="shared" ref="AC460:AC461" si="869">SUM(AA460:AB460)</f>
        <v>2173420</v>
      </c>
      <c r="AD460" s="83">
        <f t="shared" si="861"/>
        <v>15213940</v>
      </c>
      <c r="AE460" s="83">
        <f t="shared" si="862"/>
        <v>0</v>
      </c>
      <c r="AF460" s="264">
        <f t="shared" ref="AF460:AF461" si="870">AD460+AE460</f>
        <v>15213940</v>
      </c>
      <c r="AG460" s="83">
        <f>2173420*3</f>
        <v>6520260</v>
      </c>
      <c r="AH460" s="83">
        <v>0</v>
      </c>
      <c r="AI460" s="264">
        <f t="shared" ref="AI460:AI461" si="871">SUM(AG460:AH460)</f>
        <v>6520260</v>
      </c>
      <c r="AJ460" s="83">
        <v>0</v>
      </c>
      <c r="AK460" s="83">
        <v>0</v>
      </c>
      <c r="AL460" s="83"/>
      <c r="AM460" s="264">
        <f t="shared" si="831"/>
        <v>0</v>
      </c>
      <c r="AN460" s="83">
        <f>2173420*4</f>
        <v>8693680</v>
      </c>
      <c r="AO460" s="83">
        <v>0</v>
      </c>
      <c r="AP460" s="264">
        <f t="shared" ref="AP460:AP461" si="872">SUM(AN460:AO460)</f>
        <v>8693680</v>
      </c>
      <c r="AQ460" s="578">
        <f t="shared" si="832"/>
        <v>0</v>
      </c>
      <c r="AR460" s="47"/>
    </row>
    <row r="461" spans="2:44" ht="36" customHeight="1">
      <c r="B461" s="35" t="s">
        <v>973</v>
      </c>
      <c r="C461" s="463" t="s">
        <v>987</v>
      </c>
      <c r="D461" s="63"/>
      <c r="E461" s="552" t="s">
        <v>928</v>
      </c>
      <c r="F461" s="330" t="s">
        <v>984</v>
      </c>
      <c r="G461" s="406">
        <v>2024</v>
      </c>
      <c r="H461" s="406">
        <v>2030</v>
      </c>
      <c r="I461" s="586">
        <v>1086710</v>
      </c>
      <c r="J461" s="586">
        <v>0</v>
      </c>
      <c r="K461" s="264">
        <f t="shared" si="863"/>
        <v>1086710</v>
      </c>
      <c r="L461" s="586">
        <v>1086710</v>
      </c>
      <c r="M461" s="586">
        <v>0</v>
      </c>
      <c r="N461" s="264">
        <f t="shared" si="864"/>
        <v>1086710</v>
      </c>
      <c r="O461" s="586">
        <v>1086710</v>
      </c>
      <c r="P461" s="586">
        <v>0</v>
      </c>
      <c r="Q461" s="264">
        <f t="shared" si="865"/>
        <v>1086710</v>
      </c>
      <c r="R461" s="586">
        <v>1086710</v>
      </c>
      <c r="S461" s="586">
        <v>0</v>
      </c>
      <c r="T461" s="264">
        <f t="shared" si="866"/>
        <v>1086710</v>
      </c>
      <c r="U461" s="586">
        <v>1086710</v>
      </c>
      <c r="V461" s="586">
        <v>0</v>
      </c>
      <c r="W461" s="264">
        <f t="shared" si="867"/>
        <v>1086710</v>
      </c>
      <c r="X461" s="586">
        <v>1086710</v>
      </c>
      <c r="Y461" s="586">
        <v>0</v>
      </c>
      <c r="Z461" s="264">
        <f t="shared" si="868"/>
        <v>1086710</v>
      </c>
      <c r="AA461" s="586">
        <v>1086710</v>
      </c>
      <c r="AB461" s="586">
        <v>0</v>
      </c>
      <c r="AC461" s="264">
        <f t="shared" si="869"/>
        <v>1086710</v>
      </c>
      <c r="AD461" s="83">
        <f t="shared" si="861"/>
        <v>7606970</v>
      </c>
      <c r="AE461" s="83">
        <f t="shared" si="862"/>
        <v>0</v>
      </c>
      <c r="AF461" s="264">
        <f t="shared" si="870"/>
        <v>7606970</v>
      </c>
      <c r="AG461" s="83">
        <f>1086710*3</f>
        <v>3260130</v>
      </c>
      <c r="AH461" s="83"/>
      <c r="AI461" s="264">
        <f t="shared" si="871"/>
        <v>3260130</v>
      </c>
      <c r="AJ461" s="83"/>
      <c r="AK461" s="83"/>
      <c r="AL461" s="83"/>
      <c r="AM461" s="264">
        <f t="shared" si="831"/>
        <v>0</v>
      </c>
      <c r="AN461" s="83">
        <f>1086710*4</f>
        <v>4346840</v>
      </c>
      <c r="AO461" s="83"/>
      <c r="AP461" s="264">
        <f t="shared" si="872"/>
        <v>4346840</v>
      </c>
      <c r="AQ461" s="578">
        <f t="shared" si="832"/>
        <v>0</v>
      </c>
      <c r="AR461" s="47"/>
    </row>
    <row r="462" spans="2:44" ht="36" customHeight="1">
      <c r="B462" s="210" t="s">
        <v>974</v>
      </c>
      <c r="C462" s="571" t="s">
        <v>988</v>
      </c>
      <c r="D462" s="217"/>
      <c r="E462" s="620" t="s">
        <v>993</v>
      </c>
      <c r="F462" s="620" t="s">
        <v>370</v>
      </c>
      <c r="G462" s="570">
        <v>2024</v>
      </c>
      <c r="H462" s="570">
        <v>2030</v>
      </c>
      <c r="I462" s="197">
        <f>SUM(I463:I464)</f>
        <v>0</v>
      </c>
      <c r="J462" s="197">
        <f>SUM(J463:J464)</f>
        <v>0</v>
      </c>
      <c r="K462" s="197">
        <f>I462+J462</f>
        <v>0</v>
      </c>
      <c r="L462" s="197">
        <f>SUM(L463:L464)</f>
        <v>808170</v>
      </c>
      <c r="M462" s="197">
        <f>SUM(M463:M464)</f>
        <v>0</v>
      </c>
      <c r="N462" s="197">
        <f>L462+M462</f>
        <v>808170</v>
      </c>
      <c r="O462" s="197">
        <f>SUM(O463:O464)</f>
        <v>0</v>
      </c>
      <c r="P462" s="197">
        <f>SUM(P463:P464)</f>
        <v>0</v>
      </c>
      <c r="Q462" s="197">
        <f>O462+P462</f>
        <v>0</v>
      </c>
      <c r="R462" s="594">
        <f>SUM(R463:R464)</f>
        <v>1200000</v>
      </c>
      <c r="S462" s="594">
        <f>SUM(S463:S464)</f>
        <v>0</v>
      </c>
      <c r="T462" s="197">
        <f>R462+S462</f>
        <v>1200000</v>
      </c>
      <c r="U462" s="197">
        <f>SUM(U463:U464)</f>
        <v>0</v>
      </c>
      <c r="V462" s="197">
        <f>SUM(V463:V464)</f>
        <v>0</v>
      </c>
      <c r="W462" s="197">
        <f>U462+V462</f>
        <v>0</v>
      </c>
      <c r="X462" s="197">
        <f>SUM(X463:X464)</f>
        <v>0</v>
      </c>
      <c r="Y462" s="197">
        <f>SUM(Y463:Y464)</f>
        <v>0</v>
      </c>
      <c r="Z462" s="197">
        <f>SUM(X462:Y462)</f>
        <v>0</v>
      </c>
      <c r="AA462" s="197">
        <f>SUM(AA463:AA464)</f>
        <v>0</v>
      </c>
      <c r="AB462" s="197">
        <f>SUM(AB463:AB464)</f>
        <v>0</v>
      </c>
      <c r="AC462" s="197">
        <f>SUM(AA462:AB462)</f>
        <v>0</v>
      </c>
      <c r="AD462" s="197">
        <f t="shared" ref="AD462:AD464" si="873">I462+L462+O462+R462+U462+X462+AA462</f>
        <v>2008170</v>
      </c>
      <c r="AE462" s="197">
        <f t="shared" ref="AE462:AE464" si="874">J462+M462+P462+S462+V462+Y462+AB462</f>
        <v>0</v>
      </c>
      <c r="AF462" s="197">
        <f>AD462+AE462</f>
        <v>2008170</v>
      </c>
      <c r="AG462" s="197">
        <f>SUM(AG463:AG464)</f>
        <v>808170</v>
      </c>
      <c r="AH462" s="197">
        <f>SUM(AH463:AH464)</f>
        <v>0</v>
      </c>
      <c r="AI462" s="197">
        <f>AG462+AH462</f>
        <v>808170</v>
      </c>
      <c r="AJ462" s="197">
        <f>SUM(AJ463:AJ464)</f>
        <v>0</v>
      </c>
      <c r="AK462" s="197">
        <f>SUM(AK463:AK464)</f>
        <v>0</v>
      </c>
      <c r="AL462" s="197"/>
      <c r="AM462" s="197">
        <f t="shared" ref="AM462:AM464" si="875">AJ462+AK462</f>
        <v>0</v>
      </c>
      <c r="AN462" s="197">
        <f>SUM(AN463:AN464)</f>
        <v>0</v>
      </c>
      <c r="AO462" s="197">
        <f>SUM(AO463:AO464)</f>
        <v>0</v>
      </c>
      <c r="AP462" s="197">
        <f>AN462+AO462</f>
        <v>0</v>
      </c>
      <c r="AQ462" s="577">
        <f t="shared" ref="AQ462:AQ464" si="876">SUM(AP462+AM462+AI462)-AF462</f>
        <v>-1200000</v>
      </c>
      <c r="AR462" s="47"/>
    </row>
    <row r="463" spans="2:44" ht="36" customHeight="1">
      <c r="B463" s="35" t="s">
        <v>989</v>
      </c>
      <c r="C463" s="463" t="s">
        <v>991</v>
      </c>
      <c r="D463" s="92"/>
      <c r="E463" s="552" t="s">
        <v>993</v>
      </c>
      <c r="F463" s="552" t="s">
        <v>370</v>
      </c>
      <c r="G463" s="406">
        <v>2025</v>
      </c>
      <c r="H463" s="406">
        <v>2025</v>
      </c>
      <c r="I463" s="83">
        <v>0</v>
      </c>
      <c r="J463" s="83">
        <v>0</v>
      </c>
      <c r="K463" s="264">
        <f t="shared" ref="K463:K464" si="877">SUM(I463:J463)</f>
        <v>0</v>
      </c>
      <c r="L463" s="83">
        <v>808170</v>
      </c>
      <c r="M463" s="83">
        <v>0</v>
      </c>
      <c r="N463" s="264">
        <f t="shared" ref="N463:N464" si="878">SUM(L463:M463)</f>
        <v>808170</v>
      </c>
      <c r="O463" s="83">
        <v>0</v>
      </c>
      <c r="P463" s="83">
        <v>0</v>
      </c>
      <c r="Q463" s="264">
        <f t="shared" ref="Q463:Q464" si="879">SUM(O463:P463)</f>
        <v>0</v>
      </c>
      <c r="R463" s="305">
        <v>0</v>
      </c>
      <c r="S463" s="305">
        <v>0</v>
      </c>
      <c r="T463" s="264">
        <f t="shared" ref="T463:T464" si="880">SUM(R463:S463)</f>
        <v>0</v>
      </c>
      <c r="U463" s="83">
        <v>0</v>
      </c>
      <c r="V463" s="83">
        <v>0</v>
      </c>
      <c r="W463" s="264">
        <f t="shared" ref="W463:W464" si="881">SUM(U463:V463)</f>
        <v>0</v>
      </c>
      <c r="X463" s="83">
        <v>0</v>
      </c>
      <c r="Y463" s="83">
        <v>0</v>
      </c>
      <c r="Z463" s="264">
        <f t="shared" ref="Z463:Z464" si="882">SUM(X463:Y463)</f>
        <v>0</v>
      </c>
      <c r="AA463" s="83">
        <v>0</v>
      </c>
      <c r="AB463" s="83">
        <v>0</v>
      </c>
      <c r="AC463" s="264">
        <f t="shared" ref="AC463:AC464" si="883">SUM(AA463:AB463)</f>
        <v>0</v>
      </c>
      <c r="AD463" s="83">
        <f t="shared" si="873"/>
        <v>808170</v>
      </c>
      <c r="AE463" s="83">
        <f t="shared" si="874"/>
        <v>0</v>
      </c>
      <c r="AF463" s="264">
        <f t="shared" ref="AF463:AF464" si="884">AD463+AE463</f>
        <v>808170</v>
      </c>
      <c r="AG463" s="83">
        <v>808170</v>
      </c>
      <c r="AH463" s="83">
        <v>0</v>
      </c>
      <c r="AI463" s="264">
        <f t="shared" ref="AI463:AI464" si="885">SUM(AG463:AH463)</f>
        <v>808170</v>
      </c>
      <c r="AJ463" s="83">
        <v>0</v>
      </c>
      <c r="AK463" s="83">
        <v>0</v>
      </c>
      <c r="AL463" s="83"/>
      <c r="AM463" s="264">
        <f t="shared" si="875"/>
        <v>0</v>
      </c>
      <c r="AN463" s="83">
        <v>0</v>
      </c>
      <c r="AO463" s="83">
        <v>0</v>
      </c>
      <c r="AP463" s="264">
        <f t="shared" ref="AP463:AP464" si="886">SUM(AN463:AO463)</f>
        <v>0</v>
      </c>
      <c r="AQ463" s="578">
        <f t="shared" si="876"/>
        <v>0</v>
      </c>
      <c r="AR463" s="47"/>
    </row>
    <row r="464" spans="2:44" ht="36" customHeight="1">
      <c r="B464" s="35" t="s">
        <v>990</v>
      </c>
      <c r="C464" s="575" t="s">
        <v>992</v>
      </c>
      <c r="D464" s="92"/>
      <c r="E464" s="552" t="s">
        <v>993</v>
      </c>
      <c r="F464" s="552" t="s">
        <v>370</v>
      </c>
      <c r="G464" s="406">
        <v>2027</v>
      </c>
      <c r="H464" s="406">
        <v>2027</v>
      </c>
      <c r="I464" s="83">
        <v>0</v>
      </c>
      <c r="J464" s="83">
        <v>0</v>
      </c>
      <c r="K464" s="270">
        <f t="shared" si="877"/>
        <v>0</v>
      </c>
      <c r="L464" s="83">
        <v>0</v>
      </c>
      <c r="M464" s="83">
        <v>0</v>
      </c>
      <c r="N464" s="264">
        <f t="shared" si="878"/>
        <v>0</v>
      </c>
      <c r="O464" s="83">
        <v>0</v>
      </c>
      <c r="P464" s="83">
        <v>0</v>
      </c>
      <c r="Q464" s="264">
        <f t="shared" si="879"/>
        <v>0</v>
      </c>
      <c r="R464" s="305">
        <v>1200000</v>
      </c>
      <c r="S464" s="305">
        <v>0</v>
      </c>
      <c r="T464" s="264">
        <f t="shared" si="880"/>
        <v>1200000</v>
      </c>
      <c r="U464" s="83">
        <v>0</v>
      </c>
      <c r="V464" s="83">
        <v>0</v>
      </c>
      <c r="W464" s="264">
        <f t="shared" si="881"/>
        <v>0</v>
      </c>
      <c r="X464" s="83">
        <v>0</v>
      </c>
      <c r="Y464" s="83">
        <v>0</v>
      </c>
      <c r="Z464" s="264">
        <f t="shared" si="882"/>
        <v>0</v>
      </c>
      <c r="AA464" s="83">
        <v>0</v>
      </c>
      <c r="AB464" s="83">
        <v>0</v>
      </c>
      <c r="AC464" s="264">
        <f t="shared" si="883"/>
        <v>0</v>
      </c>
      <c r="AD464" s="83">
        <f t="shared" si="873"/>
        <v>1200000</v>
      </c>
      <c r="AE464" s="83">
        <f t="shared" si="874"/>
        <v>0</v>
      </c>
      <c r="AF464" s="264">
        <f t="shared" si="884"/>
        <v>1200000</v>
      </c>
      <c r="AG464" s="83">
        <v>0</v>
      </c>
      <c r="AH464" s="83">
        <v>0</v>
      </c>
      <c r="AI464" s="264">
        <f t="shared" si="885"/>
        <v>0</v>
      </c>
      <c r="AJ464" s="83">
        <v>0</v>
      </c>
      <c r="AK464" s="83">
        <v>0</v>
      </c>
      <c r="AL464" s="83"/>
      <c r="AM464" s="264">
        <f t="shared" si="875"/>
        <v>0</v>
      </c>
      <c r="AN464" s="83">
        <v>0</v>
      </c>
      <c r="AO464" s="83">
        <v>0</v>
      </c>
      <c r="AP464" s="264">
        <f t="shared" si="886"/>
        <v>0</v>
      </c>
      <c r="AQ464" s="578">
        <f t="shared" si="876"/>
        <v>-1200000</v>
      </c>
      <c r="AR464" s="47"/>
    </row>
    <row r="465" spans="2:44" ht="36" customHeight="1">
      <c r="B465" s="210" t="s">
        <v>994</v>
      </c>
      <c r="C465" s="571" t="s">
        <v>1001</v>
      </c>
      <c r="D465" s="217"/>
      <c r="E465" s="600" t="s">
        <v>1005</v>
      </c>
      <c r="F465" s="570"/>
      <c r="G465" s="570">
        <v>2024</v>
      </c>
      <c r="H465" s="570">
        <v>2030</v>
      </c>
      <c r="I465" s="197">
        <f>SUM(I466:I467)</f>
        <v>0</v>
      </c>
      <c r="J465" s="197">
        <f>SUM(J466:J467)</f>
        <v>0</v>
      </c>
      <c r="K465" s="197">
        <f>I465+J465</f>
        <v>0</v>
      </c>
      <c r="L465" s="197">
        <f>SUM(L466:L467)</f>
        <v>3260130</v>
      </c>
      <c r="M465" s="197">
        <f>SUM(M466:M467)</f>
        <v>0</v>
      </c>
      <c r="N465" s="197">
        <f>L465+M465</f>
        <v>3260130</v>
      </c>
      <c r="O465" s="197">
        <f>SUM(O466:O467)</f>
        <v>3260130</v>
      </c>
      <c r="P465" s="197">
        <f>SUM(P466:P467)</f>
        <v>0</v>
      </c>
      <c r="Q465" s="197">
        <f>O465+P465</f>
        <v>3260130</v>
      </c>
      <c r="R465" s="594">
        <f>SUM(R466:R467)</f>
        <v>3260130</v>
      </c>
      <c r="S465" s="594">
        <f>SUM(S466:S467)</f>
        <v>0</v>
      </c>
      <c r="T465" s="197">
        <f>R465+S465</f>
        <v>3260130</v>
      </c>
      <c r="U465" s="197">
        <f>SUM(U466:U467)</f>
        <v>3260130</v>
      </c>
      <c r="V465" s="197">
        <f>SUM(V466:V467)</f>
        <v>0</v>
      </c>
      <c r="W465" s="197">
        <f>U465+V465</f>
        <v>3260130</v>
      </c>
      <c r="X465" s="197">
        <f>SUM(X466:X467)</f>
        <v>3260130</v>
      </c>
      <c r="Y465" s="197">
        <f>SUM(Y466:Y467)</f>
        <v>0</v>
      </c>
      <c r="Z465" s="197">
        <f>SUM(X465:Y465)</f>
        <v>3260130</v>
      </c>
      <c r="AA465" s="197">
        <f>SUM(AA466:AA467)</f>
        <v>3260130</v>
      </c>
      <c r="AB465" s="197">
        <f>SUM(AB466:AB467)</f>
        <v>0</v>
      </c>
      <c r="AC465" s="197">
        <f>SUM(AA465:AB465)</f>
        <v>3260130</v>
      </c>
      <c r="AD465" s="197">
        <f t="shared" ref="AD465:AD467" si="887">I465+L465+O465+R465+U465+X465+AA465</f>
        <v>19560780</v>
      </c>
      <c r="AE465" s="197">
        <f t="shared" ref="AE465:AE467" si="888">J465+M465+P465+S465+V465+Y465+AB465</f>
        <v>0</v>
      </c>
      <c r="AF465" s="197">
        <f>AD465+AE465</f>
        <v>19560780</v>
      </c>
      <c r="AG465" s="197">
        <f>SUM(AG466:AG467)</f>
        <v>6520260</v>
      </c>
      <c r="AH465" s="197">
        <f>SUM(AH466:AH467)</f>
        <v>0</v>
      </c>
      <c r="AI465" s="197">
        <f>AG465+AH465</f>
        <v>6520260</v>
      </c>
      <c r="AJ465" s="197">
        <f>SUM(AJ466:AJ467)</f>
        <v>0</v>
      </c>
      <c r="AK465" s="197">
        <f>SUM(AK466:AK467)</f>
        <v>0</v>
      </c>
      <c r="AL465" s="197"/>
      <c r="AM465" s="197">
        <f t="shared" ref="AM465:AM478" si="889">AJ465+AK465</f>
        <v>0</v>
      </c>
      <c r="AN465" s="197">
        <f>SUM(AN466:AN467)</f>
        <v>13040520</v>
      </c>
      <c r="AO465" s="197">
        <f>SUM(AO466:AO467)</f>
        <v>0</v>
      </c>
      <c r="AP465" s="197">
        <f>AN465+AO465</f>
        <v>13040520</v>
      </c>
      <c r="AQ465" s="577">
        <f t="shared" ref="AQ465:AQ478" si="890">SUM(AP465+AM465+AI465)-AF465</f>
        <v>0</v>
      </c>
      <c r="AR465" s="47"/>
    </row>
    <row r="466" spans="2:44" ht="36" customHeight="1">
      <c r="B466" s="35" t="s">
        <v>995</v>
      </c>
      <c r="C466" s="327" t="s">
        <v>1002</v>
      </c>
      <c r="D466" s="92"/>
      <c r="E466" s="330" t="s">
        <v>1005</v>
      </c>
      <c r="F466" s="330"/>
      <c r="G466" s="406">
        <v>2025</v>
      </c>
      <c r="H466" s="406">
        <v>2030</v>
      </c>
      <c r="I466" s="83">
        <v>0</v>
      </c>
      <c r="J466" s="83">
        <v>0</v>
      </c>
      <c r="K466" s="264">
        <f t="shared" ref="K466:K467" si="891">SUM(I466:J466)</f>
        <v>0</v>
      </c>
      <c r="L466" s="83">
        <v>2173420</v>
      </c>
      <c r="M466" s="83">
        <v>0</v>
      </c>
      <c r="N466" s="264">
        <f t="shared" ref="N466:N467" si="892">SUM(L466:M466)</f>
        <v>2173420</v>
      </c>
      <c r="O466" s="83">
        <v>2173420</v>
      </c>
      <c r="P466" s="83">
        <v>0</v>
      </c>
      <c r="Q466" s="264">
        <f t="shared" ref="Q466:Q467" si="893">SUM(O466:P466)</f>
        <v>2173420</v>
      </c>
      <c r="R466" s="83">
        <v>2173420</v>
      </c>
      <c r="S466" s="83">
        <v>0</v>
      </c>
      <c r="T466" s="264">
        <f t="shared" ref="T466:T467" si="894">SUM(R466:S466)</f>
        <v>2173420</v>
      </c>
      <c r="U466" s="83">
        <v>2173420</v>
      </c>
      <c r="V466" s="83">
        <v>0</v>
      </c>
      <c r="W466" s="264">
        <f t="shared" ref="W466:W467" si="895">SUM(U466:V466)</f>
        <v>2173420</v>
      </c>
      <c r="X466" s="83">
        <v>2173420</v>
      </c>
      <c r="Y466" s="83">
        <v>0</v>
      </c>
      <c r="Z466" s="264">
        <f t="shared" ref="Z466:Z467" si="896">SUM(X466:Y466)</f>
        <v>2173420</v>
      </c>
      <c r="AA466" s="83">
        <v>2173420</v>
      </c>
      <c r="AB466" s="83">
        <v>0</v>
      </c>
      <c r="AC466" s="264">
        <f t="shared" ref="AC466:AC467" si="897">SUM(AA466:AB466)</f>
        <v>2173420</v>
      </c>
      <c r="AD466" s="83">
        <f t="shared" si="887"/>
        <v>13040520</v>
      </c>
      <c r="AE466" s="83">
        <f t="shared" si="888"/>
        <v>0</v>
      </c>
      <c r="AF466" s="264">
        <f t="shared" ref="AF466:AF467" si="898">AD466+AE466</f>
        <v>13040520</v>
      </c>
      <c r="AG466" s="83">
        <f>2173420*2</f>
        <v>4346840</v>
      </c>
      <c r="AH466" s="83">
        <v>0</v>
      </c>
      <c r="AI466" s="264">
        <f t="shared" ref="AI466:AI467" si="899">SUM(AG466:AH466)</f>
        <v>4346840</v>
      </c>
      <c r="AJ466" s="83">
        <v>0</v>
      </c>
      <c r="AK466" s="83">
        <v>0</v>
      </c>
      <c r="AL466" s="83"/>
      <c r="AM466" s="264">
        <f t="shared" si="889"/>
        <v>0</v>
      </c>
      <c r="AN466" s="83">
        <f>2173420*4</f>
        <v>8693680</v>
      </c>
      <c r="AO466" s="83">
        <v>0</v>
      </c>
      <c r="AP466" s="264">
        <f t="shared" ref="AP466:AP467" si="900">SUM(AN466:AO466)</f>
        <v>8693680</v>
      </c>
      <c r="AQ466" s="578">
        <f t="shared" si="890"/>
        <v>0</v>
      </c>
      <c r="AR466" s="47"/>
    </row>
    <row r="467" spans="2:44" ht="36" customHeight="1">
      <c r="B467" s="35" t="s">
        <v>996</v>
      </c>
      <c r="C467" s="327" t="s">
        <v>1003</v>
      </c>
      <c r="D467" s="92"/>
      <c r="E467" s="330" t="s">
        <v>1004</v>
      </c>
      <c r="F467" s="330"/>
      <c r="G467" s="406">
        <v>2025</v>
      </c>
      <c r="H467" s="406">
        <v>2030</v>
      </c>
      <c r="I467" s="83">
        <v>0</v>
      </c>
      <c r="J467" s="83">
        <v>0</v>
      </c>
      <c r="K467" s="264">
        <f t="shared" si="891"/>
        <v>0</v>
      </c>
      <c r="L467" s="83">
        <v>1086710</v>
      </c>
      <c r="M467" s="83">
        <v>0</v>
      </c>
      <c r="N467" s="264">
        <f t="shared" si="892"/>
        <v>1086710</v>
      </c>
      <c r="O467" s="83">
        <v>1086710</v>
      </c>
      <c r="P467" s="83">
        <v>0</v>
      </c>
      <c r="Q467" s="264">
        <f t="shared" si="893"/>
        <v>1086710</v>
      </c>
      <c r="R467" s="83">
        <v>1086710</v>
      </c>
      <c r="S467" s="83">
        <v>0</v>
      </c>
      <c r="T467" s="264">
        <f t="shared" si="894"/>
        <v>1086710</v>
      </c>
      <c r="U467" s="83">
        <v>1086710</v>
      </c>
      <c r="V467" s="83">
        <v>0</v>
      </c>
      <c r="W467" s="264">
        <f t="shared" si="895"/>
        <v>1086710</v>
      </c>
      <c r="X467" s="83">
        <v>1086710</v>
      </c>
      <c r="Y467" s="83">
        <v>0</v>
      </c>
      <c r="Z467" s="264">
        <f t="shared" si="896"/>
        <v>1086710</v>
      </c>
      <c r="AA467" s="83">
        <v>1086710</v>
      </c>
      <c r="AB467" s="83">
        <v>0</v>
      </c>
      <c r="AC467" s="264">
        <f t="shared" si="897"/>
        <v>1086710</v>
      </c>
      <c r="AD467" s="83">
        <f t="shared" si="887"/>
        <v>6520260</v>
      </c>
      <c r="AE467" s="83">
        <f t="shared" si="888"/>
        <v>0</v>
      </c>
      <c r="AF467" s="264">
        <f t="shared" si="898"/>
        <v>6520260</v>
      </c>
      <c r="AG467" s="83">
        <f>1086710*2</f>
        <v>2173420</v>
      </c>
      <c r="AH467" s="83">
        <v>0</v>
      </c>
      <c r="AI467" s="264">
        <f t="shared" si="899"/>
        <v>2173420</v>
      </c>
      <c r="AJ467" s="83">
        <v>0</v>
      </c>
      <c r="AK467" s="83">
        <v>0</v>
      </c>
      <c r="AL467" s="83"/>
      <c r="AM467" s="264">
        <f t="shared" si="889"/>
        <v>0</v>
      </c>
      <c r="AN467" s="83">
        <f>1086710*4</f>
        <v>4346840</v>
      </c>
      <c r="AO467" s="83">
        <v>0</v>
      </c>
      <c r="AP467" s="264">
        <f t="shared" si="900"/>
        <v>4346840</v>
      </c>
      <c r="AQ467" s="578">
        <f t="shared" si="890"/>
        <v>0</v>
      </c>
      <c r="AR467" s="47"/>
    </row>
    <row r="468" spans="2:44" ht="36" customHeight="1">
      <c r="B468" s="210" t="s">
        <v>997</v>
      </c>
      <c r="C468" s="571" t="s">
        <v>1013</v>
      </c>
      <c r="D468" s="217"/>
      <c r="E468" s="570" t="s">
        <v>1018</v>
      </c>
      <c r="F468" s="570"/>
      <c r="G468" s="570">
        <v>2024</v>
      </c>
      <c r="H468" s="570">
        <v>2028</v>
      </c>
      <c r="I468" s="197">
        <f>SUM(I469:I472)</f>
        <v>1800000</v>
      </c>
      <c r="J468" s="197">
        <f>SUM(J469:J472)</f>
        <v>0</v>
      </c>
      <c r="K468" s="197">
        <f>I468+J468</f>
        <v>1800000</v>
      </c>
      <c r="L468" s="197">
        <f>SUM(L469:L472)</f>
        <v>0</v>
      </c>
      <c r="M468" s="197">
        <f>SUM(M469:M472)</f>
        <v>0</v>
      </c>
      <c r="N468" s="197">
        <f>L468+M468</f>
        <v>0</v>
      </c>
      <c r="O468" s="197">
        <f>SUM(O469:O472)</f>
        <v>808170</v>
      </c>
      <c r="P468" s="197">
        <f>SUM(P469:P472)</f>
        <v>7500000</v>
      </c>
      <c r="Q468" s="197">
        <f>O468+P468</f>
        <v>8308170</v>
      </c>
      <c r="R468" s="197">
        <f t="shared" ref="R468" si="901">SUM(R469:R472)</f>
        <v>808170</v>
      </c>
      <c r="S468" s="197">
        <f t="shared" ref="S468" si="902">SUM(S469:S472)</f>
        <v>0</v>
      </c>
      <c r="T468" s="197">
        <f>R468+S468</f>
        <v>808170</v>
      </c>
      <c r="U468" s="197">
        <f>SUM(U469:U475)</f>
        <v>0</v>
      </c>
      <c r="V468" s="197">
        <f>SUM(V469:V475)</f>
        <v>0</v>
      </c>
      <c r="W468" s="197">
        <f>U468+V468</f>
        <v>0</v>
      </c>
      <c r="X468" s="197">
        <f t="shared" ref="X468" si="903">SUM(X469:X472)</f>
        <v>0</v>
      </c>
      <c r="Y468" s="197">
        <f t="shared" ref="Y468" si="904">SUM(Y469:Y472)</f>
        <v>0</v>
      </c>
      <c r="Z468" s="197">
        <f>SUM(X468:Y468)</f>
        <v>0</v>
      </c>
      <c r="AA468" s="197">
        <f>SUM(AA469:AA475)</f>
        <v>0</v>
      </c>
      <c r="AB468" s="197">
        <f>SUM(AB469:AB472)</f>
        <v>0</v>
      </c>
      <c r="AC468" s="197">
        <f>SUM(AA468:AB468)</f>
        <v>0</v>
      </c>
      <c r="AD468" s="197">
        <f t="shared" ref="AD468:AD472" si="905">I468+L468+O468+R468+U468+X468+AA468</f>
        <v>3416340</v>
      </c>
      <c r="AE468" s="197">
        <f t="shared" ref="AE468:AE472" si="906">J468+M468+P468+S468+V468+Y468+AB468</f>
        <v>7500000</v>
      </c>
      <c r="AF468" s="197">
        <f>AD468+AE468</f>
        <v>10916340</v>
      </c>
      <c r="AG468" s="197">
        <f t="shared" ref="AG468" si="907">SUM(AG469:AG472)</f>
        <v>808170</v>
      </c>
      <c r="AH468" s="197">
        <f t="shared" ref="AH468" si="908">SUM(AH469:AH472)</f>
        <v>7500000</v>
      </c>
      <c r="AI468" s="197">
        <f>AG468+AH468</f>
        <v>8308170</v>
      </c>
      <c r="AJ468" s="197">
        <f t="shared" ref="AJ468" si="909">SUM(AJ469:AJ472)</f>
        <v>0</v>
      </c>
      <c r="AK468" s="197">
        <f t="shared" ref="AK468" si="910">SUM(AK469:AK472)</f>
        <v>0</v>
      </c>
      <c r="AL468" s="197"/>
      <c r="AM468" s="197">
        <f t="shared" si="889"/>
        <v>0</v>
      </c>
      <c r="AN468" s="197">
        <f t="shared" ref="AN468" si="911">SUM(AN469:AN472)</f>
        <v>808170</v>
      </c>
      <c r="AO468" s="197">
        <f t="shared" ref="AO468" si="912">SUM(AO469:AO472)</f>
        <v>0</v>
      </c>
      <c r="AP468" s="197">
        <f>AN468+AO468</f>
        <v>808170</v>
      </c>
      <c r="AQ468" s="577">
        <f t="shared" si="890"/>
        <v>-1800000</v>
      </c>
      <c r="AR468" s="47"/>
    </row>
    <row r="469" spans="2:44" ht="36" customHeight="1">
      <c r="B469" s="35" t="s">
        <v>998</v>
      </c>
      <c r="C469" s="575" t="s">
        <v>1014</v>
      </c>
      <c r="D469" s="92"/>
      <c r="E469" s="330" t="s">
        <v>1018</v>
      </c>
      <c r="F469" s="93"/>
      <c r="G469" s="345">
        <v>2024</v>
      </c>
      <c r="H469" s="345">
        <v>2024</v>
      </c>
      <c r="I469" s="83">
        <v>1800000</v>
      </c>
      <c r="J469" s="83">
        <v>0</v>
      </c>
      <c r="K469" s="264">
        <f t="shared" ref="K469:K472" si="913">SUM(I469:J469)</f>
        <v>1800000</v>
      </c>
      <c r="L469" s="83">
        <v>0</v>
      </c>
      <c r="M469" s="83">
        <v>0</v>
      </c>
      <c r="N469" s="264">
        <f t="shared" ref="N469:N472" si="914">SUM(L469:M469)</f>
        <v>0</v>
      </c>
      <c r="O469" s="83">
        <v>0</v>
      </c>
      <c r="P469" s="83">
        <v>0</v>
      </c>
      <c r="Q469" s="264">
        <f t="shared" ref="Q469:Q472" si="915">SUM(O469:P469)</f>
        <v>0</v>
      </c>
      <c r="R469" s="83">
        <v>0</v>
      </c>
      <c r="S469" s="83">
        <v>0</v>
      </c>
      <c r="T469" s="264">
        <f t="shared" ref="T469:T472" si="916">SUM(R469:S469)</f>
        <v>0</v>
      </c>
      <c r="U469" s="83">
        <v>0</v>
      </c>
      <c r="V469" s="83">
        <v>0</v>
      </c>
      <c r="W469" s="264">
        <f t="shared" ref="W469:W472" si="917">SUM(U469:V469)</f>
        <v>0</v>
      </c>
      <c r="X469" s="83">
        <v>0</v>
      </c>
      <c r="Y469" s="83">
        <v>0</v>
      </c>
      <c r="Z469" s="264">
        <f t="shared" ref="Z469:Z472" si="918">SUM(X469:Y469)</f>
        <v>0</v>
      </c>
      <c r="AA469" s="83">
        <v>0</v>
      </c>
      <c r="AB469" s="83">
        <v>0</v>
      </c>
      <c r="AC469" s="264">
        <f t="shared" ref="AC469:AC472" si="919">SUM(AA469:AB469)</f>
        <v>0</v>
      </c>
      <c r="AD469" s="83">
        <f t="shared" si="905"/>
        <v>1800000</v>
      </c>
      <c r="AE469" s="83">
        <f t="shared" si="906"/>
        <v>0</v>
      </c>
      <c r="AF469" s="264">
        <f t="shared" ref="AF469:AF472" si="920">AD469+AE469</f>
        <v>1800000</v>
      </c>
      <c r="AG469" s="83">
        <v>0</v>
      </c>
      <c r="AH469" s="83">
        <v>0</v>
      </c>
      <c r="AI469" s="264">
        <f t="shared" ref="AI469:AI472" si="921">SUM(AG469:AH469)</f>
        <v>0</v>
      </c>
      <c r="AJ469" s="83">
        <v>0</v>
      </c>
      <c r="AK469" s="83">
        <v>0</v>
      </c>
      <c r="AL469" s="83"/>
      <c r="AM469" s="264">
        <f t="shared" si="889"/>
        <v>0</v>
      </c>
      <c r="AN469" s="83">
        <v>0</v>
      </c>
      <c r="AO469" s="83">
        <v>0</v>
      </c>
      <c r="AP469" s="264">
        <f t="shared" ref="AP469:AP472" si="922">SUM(AN469:AO469)</f>
        <v>0</v>
      </c>
      <c r="AQ469" s="578">
        <f t="shared" si="890"/>
        <v>-1800000</v>
      </c>
      <c r="AR469" s="47"/>
    </row>
    <row r="470" spans="2:44" ht="36" customHeight="1">
      <c r="B470" s="35" t="s">
        <v>999</v>
      </c>
      <c r="C470" s="327" t="s">
        <v>1015</v>
      </c>
      <c r="D470" s="92"/>
      <c r="E470" s="330" t="s">
        <v>1018</v>
      </c>
      <c r="F470" s="93"/>
      <c r="G470" s="345">
        <v>2027</v>
      </c>
      <c r="H470" s="345">
        <v>2027</v>
      </c>
      <c r="I470" s="83">
        <v>0</v>
      </c>
      <c r="J470" s="83">
        <v>0</v>
      </c>
      <c r="K470" s="264">
        <f t="shared" si="913"/>
        <v>0</v>
      </c>
      <c r="L470" s="83">
        <v>0</v>
      </c>
      <c r="M470" s="83">
        <v>0</v>
      </c>
      <c r="N470" s="264">
        <f t="shared" si="914"/>
        <v>0</v>
      </c>
      <c r="O470" s="83">
        <v>0</v>
      </c>
      <c r="P470" s="83">
        <v>7500000</v>
      </c>
      <c r="Q470" s="264">
        <f t="shared" si="915"/>
        <v>7500000</v>
      </c>
      <c r="R470" s="83">
        <v>0</v>
      </c>
      <c r="S470" s="83">
        <v>0</v>
      </c>
      <c r="T470" s="264">
        <f t="shared" si="916"/>
        <v>0</v>
      </c>
      <c r="U470" s="83">
        <v>0</v>
      </c>
      <c r="V470" s="83">
        <v>0</v>
      </c>
      <c r="W470" s="264">
        <f t="shared" si="917"/>
        <v>0</v>
      </c>
      <c r="X470" s="83">
        <v>0</v>
      </c>
      <c r="Y470" s="83">
        <v>0</v>
      </c>
      <c r="Z470" s="264">
        <f t="shared" si="918"/>
        <v>0</v>
      </c>
      <c r="AA470" s="83">
        <v>0</v>
      </c>
      <c r="AB470" s="83">
        <v>0</v>
      </c>
      <c r="AC470" s="264">
        <f t="shared" si="919"/>
        <v>0</v>
      </c>
      <c r="AD470" s="83">
        <f t="shared" si="905"/>
        <v>0</v>
      </c>
      <c r="AE470" s="83">
        <f t="shared" si="906"/>
        <v>7500000</v>
      </c>
      <c r="AF470" s="264">
        <f t="shared" si="920"/>
        <v>7500000</v>
      </c>
      <c r="AG470" s="83">
        <v>0</v>
      </c>
      <c r="AH470" s="83">
        <v>7500000</v>
      </c>
      <c r="AI470" s="264">
        <f t="shared" si="921"/>
        <v>7500000</v>
      </c>
      <c r="AJ470" s="83">
        <v>0</v>
      </c>
      <c r="AK470" s="83">
        <v>0</v>
      </c>
      <c r="AL470" s="83"/>
      <c r="AM470" s="264">
        <f t="shared" si="889"/>
        <v>0</v>
      </c>
      <c r="AN470" s="83">
        <v>0</v>
      </c>
      <c r="AO470" s="83">
        <v>0</v>
      </c>
      <c r="AP470" s="264">
        <f t="shared" si="922"/>
        <v>0</v>
      </c>
      <c r="AQ470" s="578">
        <f t="shared" si="890"/>
        <v>0</v>
      </c>
      <c r="AR470" s="47"/>
    </row>
    <row r="471" spans="2:44" ht="36" customHeight="1">
      <c r="B471" s="35" t="s">
        <v>1000</v>
      </c>
      <c r="C471" s="327" t="s">
        <v>1016</v>
      </c>
      <c r="D471" s="92"/>
      <c r="E471" s="330" t="s">
        <v>1018</v>
      </c>
      <c r="F471" s="93"/>
      <c r="G471" s="345">
        <v>2027</v>
      </c>
      <c r="H471" s="345">
        <v>2028</v>
      </c>
      <c r="I471" s="83">
        <v>0</v>
      </c>
      <c r="J471" s="83">
        <v>0</v>
      </c>
      <c r="K471" s="264">
        <f t="shared" si="913"/>
        <v>0</v>
      </c>
      <c r="L471" s="83">
        <v>0</v>
      </c>
      <c r="M471" s="83">
        <v>0</v>
      </c>
      <c r="N471" s="264">
        <f t="shared" si="914"/>
        <v>0</v>
      </c>
      <c r="O471" s="83">
        <v>808170</v>
      </c>
      <c r="P471" s="83">
        <v>0</v>
      </c>
      <c r="Q471" s="264">
        <f t="shared" si="915"/>
        <v>808170</v>
      </c>
      <c r="R471" s="83">
        <v>808170</v>
      </c>
      <c r="S471" s="83">
        <v>0</v>
      </c>
      <c r="T471" s="264">
        <f t="shared" si="916"/>
        <v>808170</v>
      </c>
      <c r="U471" s="83">
        <v>0</v>
      </c>
      <c r="V471" s="83">
        <v>0</v>
      </c>
      <c r="W471" s="264">
        <f t="shared" si="917"/>
        <v>0</v>
      </c>
      <c r="X471" s="83">
        <v>0</v>
      </c>
      <c r="Y471" s="83">
        <v>0</v>
      </c>
      <c r="Z471" s="264">
        <f t="shared" si="918"/>
        <v>0</v>
      </c>
      <c r="AA471" s="83">
        <v>0</v>
      </c>
      <c r="AB471" s="83">
        <v>0</v>
      </c>
      <c r="AC471" s="264">
        <f t="shared" si="919"/>
        <v>0</v>
      </c>
      <c r="AD471" s="83">
        <f t="shared" si="905"/>
        <v>1616340</v>
      </c>
      <c r="AE471" s="83">
        <f t="shared" si="906"/>
        <v>0</v>
      </c>
      <c r="AF471" s="264">
        <f t="shared" si="920"/>
        <v>1616340</v>
      </c>
      <c r="AG471" s="83">
        <v>808170</v>
      </c>
      <c r="AH471" s="83">
        <v>0</v>
      </c>
      <c r="AI471" s="264">
        <f t="shared" si="921"/>
        <v>808170</v>
      </c>
      <c r="AJ471" s="83">
        <v>0</v>
      </c>
      <c r="AK471" s="83">
        <v>0</v>
      </c>
      <c r="AL471" s="83"/>
      <c r="AM471" s="264">
        <f t="shared" si="889"/>
        <v>0</v>
      </c>
      <c r="AN471" s="83">
        <v>808170</v>
      </c>
      <c r="AO471" s="83">
        <v>0</v>
      </c>
      <c r="AP471" s="264">
        <f t="shared" si="922"/>
        <v>808170</v>
      </c>
      <c r="AQ471" s="578">
        <f t="shared" si="890"/>
        <v>0</v>
      </c>
      <c r="AR471" s="47"/>
    </row>
    <row r="472" spans="2:44" ht="36" customHeight="1">
      <c r="B472" s="35" t="s">
        <v>1006</v>
      </c>
      <c r="C472" s="608" t="s">
        <v>1017</v>
      </c>
      <c r="D472" s="92"/>
      <c r="E472" s="330" t="s">
        <v>1018</v>
      </c>
      <c r="F472" s="93"/>
      <c r="G472" s="345">
        <v>2028</v>
      </c>
      <c r="H472" s="345">
        <v>2028</v>
      </c>
      <c r="I472" s="83">
        <v>0</v>
      </c>
      <c r="J472" s="83">
        <v>0</v>
      </c>
      <c r="K472" s="264">
        <f t="shared" si="913"/>
        <v>0</v>
      </c>
      <c r="L472" s="586">
        <v>0</v>
      </c>
      <c r="M472" s="586">
        <v>0</v>
      </c>
      <c r="N472" s="270">
        <f t="shared" si="914"/>
        <v>0</v>
      </c>
      <c r="O472" s="586">
        <v>0</v>
      </c>
      <c r="P472" s="586">
        <v>0</v>
      </c>
      <c r="Q472" s="270">
        <f t="shared" si="915"/>
        <v>0</v>
      </c>
      <c r="R472" s="586">
        <v>0</v>
      </c>
      <c r="S472" s="586">
        <v>0</v>
      </c>
      <c r="T472" s="270">
        <f t="shared" si="916"/>
        <v>0</v>
      </c>
      <c r="U472" s="586">
        <v>0</v>
      </c>
      <c r="V472" s="586">
        <v>0</v>
      </c>
      <c r="W472" s="270">
        <f t="shared" si="917"/>
        <v>0</v>
      </c>
      <c r="X472" s="586">
        <v>0</v>
      </c>
      <c r="Y472" s="586">
        <v>0</v>
      </c>
      <c r="Z472" s="270">
        <f t="shared" si="918"/>
        <v>0</v>
      </c>
      <c r="AA472" s="586">
        <v>0</v>
      </c>
      <c r="AB472" s="586">
        <v>0</v>
      </c>
      <c r="AC472" s="270">
        <f t="shared" si="919"/>
        <v>0</v>
      </c>
      <c r="AD472" s="83">
        <f t="shared" si="905"/>
        <v>0</v>
      </c>
      <c r="AE472" s="83">
        <f t="shared" si="906"/>
        <v>0</v>
      </c>
      <c r="AF472" s="270">
        <f t="shared" si="920"/>
        <v>0</v>
      </c>
      <c r="AG472" s="586">
        <v>0</v>
      </c>
      <c r="AH472" s="586">
        <v>0</v>
      </c>
      <c r="AI472" s="270">
        <f t="shared" si="921"/>
        <v>0</v>
      </c>
      <c r="AJ472" s="83">
        <v>0</v>
      </c>
      <c r="AK472" s="83">
        <v>0</v>
      </c>
      <c r="AL472" s="586"/>
      <c r="AM472" s="270">
        <f t="shared" si="889"/>
        <v>0</v>
      </c>
      <c r="AN472" s="586">
        <v>0</v>
      </c>
      <c r="AO472" s="586">
        <v>0</v>
      </c>
      <c r="AP472" s="270">
        <f t="shared" si="922"/>
        <v>0</v>
      </c>
      <c r="AQ472" s="587">
        <f t="shared" si="890"/>
        <v>0</v>
      </c>
      <c r="AR472" s="47"/>
    </row>
    <row r="473" spans="2:44" ht="36" customHeight="1">
      <c r="B473" s="210" t="s">
        <v>1007</v>
      </c>
      <c r="C473" s="571" t="s">
        <v>1019</v>
      </c>
      <c r="D473" s="217"/>
      <c r="E473" s="570" t="s">
        <v>1025</v>
      </c>
      <c r="F473" s="600" t="s">
        <v>1026</v>
      </c>
      <c r="G473" s="570">
        <v>2024</v>
      </c>
      <c r="H473" s="570">
        <v>2025</v>
      </c>
      <c r="I473" s="197">
        <f>SUM(I474:I478)</f>
        <v>1800000</v>
      </c>
      <c r="J473" s="197">
        <f>SUM(J474:J478)</f>
        <v>0</v>
      </c>
      <c r="K473" s="197">
        <f>I473+J473</f>
        <v>1800000</v>
      </c>
      <c r="L473" s="197">
        <f t="shared" ref="L473" si="923">SUM(L474:L478)</f>
        <v>2387880</v>
      </c>
      <c r="M473" s="197">
        <f t="shared" ref="M473" si="924">SUM(M474:M478)</f>
        <v>0</v>
      </c>
      <c r="N473" s="197">
        <f>L473+M473</f>
        <v>2387880</v>
      </c>
      <c r="O473" s="197">
        <f t="shared" ref="O473" si="925">SUM(O474:O478)</f>
        <v>0</v>
      </c>
      <c r="P473" s="197">
        <f t="shared" ref="P473" si="926">SUM(P474:P478)</f>
        <v>0</v>
      </c>
      <c r="Q473" s="197">
        <f>O473+P473</f>
        <v>0</v>
      </c>
      <c r="R473" s="197">
        <f t="shared" ref="R473" si="927">SUM(R474:R478)</f>
        <v>0</v>
      </c>
      <c r="S473" s="197">
        <f t="shared" ref="S473" si="928">SUM(S474:S478)</f>
        <v>0</v>
      </c>
      <c r="T473" s="197">
        <f>R473+S473</f>
        <v>0</v>
      </c>
      <c r="U473" s="197">
        <f t="shared" ref="U473" si="929">SUM(U474:U478)</f>
        <v>0</v>
      </c>
      <c r="V473" s="197">
        <f t="shared" ref="V473" si="930">SUM(V474:V478)</f>
        <v>0</v>
      </c>
      <c r="W473" s="197">
        <f>U473+V473</f>
        <v>0</v>
      </c>
      <c r="X473" s="197">
        <f t="shared" ref="X473" si="931">SUM(X474:X478)</f>
        <v>0</v>
      </c>
      <c r="Y473" s="197">
        <f t="shared" ref="Y473" si="932">SUM(Y474:Y478)</f>
        <v>0</v>
      </c>
      <c r="Z473" s="197">
        <f>SUM(X473:Y473)</f>
        <v>0</v>
      </c>
      <c r="AA473" s="197">
        <f t="shared" ref="AA473" si="933">SUM(AA474:AA478)</f>
        <v>0</v>
      </c>
      <c r="AB473" s="197">
        <f t="shared" ref="AB473" si="934">SUM(AB474:AB478)</f>
        <v>0</v>
      </c>
      <c r="AC473" s="197">
        <f>SUM(AA473:AB473)</f>
        <v>0</v>
      </c>
      <c r="AD473" s="197">
        <f t="shared" ref="AD473:AD478" si="935">I473+L473+O473+R473+U473+X473+AA473</f>
        <v>4187880</v>
      </c>
      <c r="AE473" s="197">
        <f t="shared" ref="AE473:AE478" si="936">J473+M473+P473+S473+V473+Y473+AB473</f>
        <v>0</v>
      </c>
      <c r="AF473" s="197">
        <f>AD473+AE473</f>
        <v>4187880</v>
      </c>
      <c r="AG473" s="197">
        <f>SUM(AG474:AG478)</f>
        <v>2387880</v>
      </c>
      <c r="AH473" s="197">
        <f>SUM(AH474:AH478)</f>
        <v>0</v>
      </c>
      <c r="AI473" s="197">
        <f>AG473+AH473</f>
        <v>2387880</v>
      </c>
      <c r="AJ473" s="197">
        <f t="shared" ref="AJ473" si="937">SUM(AJ474:AJ478)</f>
        <v>0</v>
      </c>
      <c r="AK473" s="197">
        <f t="shared" ref="AK473" si="938">SUM(AK474:AK478)</f>
        <v>0</v>
      </c>
      <c r="AL473" s="197"/>
      <c r="AM473" s="197">
        <f t="shared" si="889"/>
        <v>0</v>
      </c>
      <c r="AN473" s="197">
        <f t="shared" ref="AN473" si="939">SUM(AN474:AN478)</f>
        <v>0</v>
      </c>
      <c r="AO473" s="197">
        <f t="shared" ref="AO473" si="940">SUM(AO474:AO478)</f>
        <v>0</v>
      </c>
      <c r="AP473" s="197">
        <f>AN473+AO473</f>
        <v>0</v>
      </c>
      <c r="AQ473" s="577">
        <f t="shared" si="890"/>
        <v>-1800000</v>
      </c>
      <c r="AR473" s="47"/>
    </row>
    <row r="474" spans="2:44" ht="36" customHeight="1">
      <c r="B474" s="35" t="s">
        <v>1008</v>
      </c>
      <c r="C474" s="608" t="s">
        <v>1020</v>
      </c>
      <c r="D474" s="92"/>
      <c r="E474" s="330" t="s">
        <v>69</v>
      </c>
      <c r="F474" s="330"/>
      <c r="G474" s="345">
        <v>2024</v>
      </c>
      <c r="H474" s="345">
        <v>2024</v>
      </c>
      <c r="I474" s="83">
        <v>1800000</v>
      </c>
      <c r="J474" s="83">
        <v>0</v>
      </c>
      <c r="K474" s="264">
        <f t="shared" ref="K474:K478" si="941">SUM(I474:J474)</f>
        <v>1800000</v>
      </c>
      <c r="L474" s="83">
        <v>0</v>
      </c>
      <c r="M474" s="83">
        <v>0</v>
      </c>
      <c r="N474" s="264">
        <f t="shared" ref="N474:N478" si="942">SUM(L474:M474)</f>
        <v>0</v>
      </c>
      <c r="O474" s="83">
        <v>0</v>
      </c>
      <c r="P474" s="83">
        <v>0</v>
      </c>
      <c r="Q474" s="264">
        <f t="shared" ref="Q474:Q478" si="943">SUM(O474:P474)</f>
        <v>0</v>
      </c>
      <c r="R474" s="83">
        <v>0</v>
      </c>
      <c r="S474" s="83">
        <v>0</v>
      </c>
      <c r="T474" s="264">
        <f t="shared" ref="T474:T478" si="944">SUM(R474:S474)</f>
        <v>0</v>
      </c>
      <c r="U474" s="83">
        <v>0</v>
      </c>
      <c r="V474" s="83">
        <v>0</v>
      </c>
      <c r="W474" s="264">
        <f t="shared" ref="W474:W478" si="945">SUM(U474:V474)</f>
        <v>0</v>
      </c>
      <c r="X474" s="83">
        <v>0</v>
      </c>
      <c r="Y474" s="83">
        <v>0</v>
      </c>
      <c r="Z474" s="264">
        <f t="shared" ref="Z474:Z478" si="946">SUM(X474:Y474)</f>
        <v>0</v>
      </c>
      <c r="AA474" s="83">
        <v>0</v>
      </c>
      <c r="AB474" s="83">
        <v>0</v>
      </c>
      <c r="AC474" s="264">
        <f t="shared" ref="AC474:AC478" si="947">SUM(AA474:AB474)</f>
        <v>0</v>
      </c>
      <c r="AD474" s="83">
        <f>I474+L474+O474+R474+U474+X474+AA474</f>
        <v>1800000</v>
      </c>
      <c r="AE474" s="83">
        <f t="shared" si="936"/>
        <v>0</v>
      </c>
      <c r="AF474" s="264">
        <f t="shared" ref="AF474:AF478" si="948">AD474+AE474</f>
        <v>1800000</v>
      </c>
      <c r="AG474" s="83">
        <v>0</v>
      </c>
      <c r="AH474" s="83">
        <v>0</v>
      </c>
      <c r="AI474" s="264">
        <f t="shared" ref="AI474:AI478" si="949">SUM(AG474:AH474)</f>
        <v>0</v>
      </c>
      <c r="AJ474" s="83">
        <v>0</v>
      </c>
      <c r="AK474" s="83">
        <v>0</v>
      </c>
      <c r="AL474" s="83"/>
      <c r="AM474" s="264">
        <f t="shared" si="889"/>
        <v>0</v>
      </c>
      <c r="AN474" s="83">
        <v>0</v>
      </c>
      <c r="AO474" s="83">
        <v>0</v>
      </c>
      <c r="AP474" s="264">
        <f t="shared" ref="AP474:AP478" si="950">SUM(AN474:AO474)</f>
        <v>0</v>
      </c>
      <c r="AQ474" s="578">
        <f t="shared" si="890"/>
        <v>-1800000</v>
      </c>
      <c r="AR474" s="47"/>
    </row>
    <row r="475" spans="2:44" ht="36" customHeight="1">
      <c r="B475" s="35" t="s">
        <v>1009</v>
      </c>
      <c r="C475" s="608" t="s">
        <v>1021</v>
      </c>
      <c r="D475" s="92"/>
      <c r="E475" s="330" t="s">
        <v>1025</v>
      </c>
      <c r="F475" s="330"/>
      <c r="G475" s="345">
        <v>2025</v>
      </c>
      <c r="H475" s="345">
        <v>2025</v>
      </c>
      <c r="I475" s="83">
        <v>0</v>
      </c>
      <c r="J475" s="83">
        <v>0</v>
      </c>
      <c r="K475" s="264">
        <f t="shared" si="941"/>
        <v>0</v>
      </c>
      <c r="L475" s="83">
        <v>1086710</v>
      </c>
      <c r="M475" s="83">
        <v>0</v>
      </c>
      <c r="N475" s="264">
        <f t="shared" si="942"/>
        <v>1086710</v>
      </c>
      <c r="O475" s="83">
        <v>0</v>
      </c>
      <c r="P475" s="83">
        <v>0</v>
      </c>
      <c r="Q475" s="264">
        <f t="shared" si="943"/>
        <v>0</v>
      </c>
      <c r="R475" s="83">
        <v>0</v>
      </c>
      <c r="S475" s="83">
        <v>0</v>
      </c>
      <c r="T475" s="264">
        <f t="shared" si="944"/>
        <v>0</v>
      </c>
      <c r="U475" s="83">
        <v>0</v>
      </c>
      <c r="V475" s="83">
        <v>0</v>
      </c>
      <c r="W475" s="264">
        <f t="shared" si="945"/>
        <v>0</v>
      </c>
      <c r="X475" s="83">
        <v>0</v>
      </c>
      <c r="Y475" s="83">
        <v>0</v>
      </c>
      <c r="Z475" s="264">
        <f t="shared" si="946"/>
        <v>0</v>
      </c>
      <c r="AA475" s="83">
        <v>0</v>
      </c>
      <c r="AB475" s="83">
        <v>0</v>
      </c>
      <c r="AC475" s="264">
        <f t="shared" si="947"/>
        <v>0</v>
      </c>
      <c r="AD475" s="83">
        <f t="shared" si="935"/>
        <v>1086710</v>
      </c>
      <c r="AE475" s="83">
        <f t="shared" si="936"/>
        <v>0</v>
      </c>
      <c r="AF475" s="264">
        <f t="shared" si="948"/>
        <v>1086710</v>
      </c>
      <c r="AG475" s="83">
        <v>1086710</v>
      </c>
      <c r="AH475" s="83">
        <v>0</v>
      </c>
      <c r="AI475" s="264">
        <f t="shared" si="949"/>
        <v>1086710</v>
      </c>
      <c r="AJ475" s="83">
        <v>0</v>
      </c>
      <c r="AK475" s="83">
        <v>0</v>
      </c>
      <c r="AL475" s="83"/>
      <c r="AM475" s="264">
        <f t="shared" si="889"/>
        <v>0</v>
      </c>
      <c r="AN475" s="83">
        <v>0</v>
      </c>
      <c r="AO475" s="83">
        <v>0</v>
      </c>
      <c r="AP475" s="264">
        <f t="shared" si="950"/>
        <v>0</v>
      </c>
      <c r="AQ475" s="578">
        <f t="shared" si="890"/>
        <v>0</v>
      </c>
      <c r="AR475" s="47"/>
    </row>
    <row r="476" spans="2:44" ht="36" customHeight="1">
      <c r="B476" s="35" t="s">
        <v>1010</v>
      </c>
      <c r="C476" s="608" t="s">
        <v>1022</v>
      </c>
      <c r="D476" s="92"/>
      <c r="E476" s="330" t="s">
        <v>69</v>
      </c>
      <c r="F476" s="335" t="s">
        <v>1026</v>
      </c>
      <c r="G476" s="345">
        <v>2025</v>
      </c>
      <c r="H476" s="345">
        <v>2025</v>
      </c>
      <c r="I476" s="83">
        <v>0</v>
      </c>
      <c r="J476" s="83">
        <v>0</v>
      </c>
      <c r="K476" s="264">
        <f t="shared" si="941"/>
        <v>0</v>
      </c>
      <c r="L476" s="83">
        <v>500000</v>
      </c>
      <c r="M476" s="83">
        <v>0</v>
      </c>
      <c r="N476" s="264">
        <f t="shared" si="942"/>
        <v>500000</v>
      </c>
      <c r="O476" s="83">
        <v>0</v>
      </c>
      <c r="P476" s="83">
        <v>0</v>
      </c>
      <c r="Q476" s="264">
        <f t="shared" si="943"/>
        <v>0</v>
      </c>
      <c r="R476" s="83">
        <v>0</v>
      </c>
      <c r="S476" s="83">
        <v>0</v>
      </c>
      <c r="T476" s="264">
        <f t="shared" si="944"/>
        <v>0</v>
      </c>
      <c r="U476" s="83">
        <v>0</v>
      </c>
      <c r="V476" s="83">
        <v>0</v>
      </c>
      <c r="W476" s="264">
        <f t="shared" si="945"/>
        <v>0</v>
      </c>
      <c r="X476" s="83">
        <v>0</v>
      </c>
      <c r="Y476" s="83">
        <v>0</v>
      </c>
      <c r="Z476" s="264">
        <f t="shared" si="946"/>
        <v>0</v>
      </c>
      <c r="AA476" s="83">
        <v>0</v>
      </c>
      <c r="AB476" s="83">
        <v>0</v>
      </c>
      <c r="AC476" s="264">
        <f t="shared" si="947"/>
        <v>0</v>
      </c>
      <c r="AD476" s="83">
        <f t="shared" si="935"/>
        <v>500000</v>
      </c>
      <c r="AE476" s="83">
        <f t="shared" si="936"/>
        <v>0</v>
      </c>
      <c r="AF476" s="264">
        <f t="shared" si="948"/>
        <v>500000</v>
      </c>
      <c r="AG476" s="83">
        <v>500000</v>
      </c>
      <c r="AH476" s="83">
        <v>0</v>
      </c>
      <c r="AI476" s="264">
        <f t="shared" si="949"/>
        <v>500000</v>
      </c>
      <c r="AJ476" s="83">
        <v>0</v>
      </c>
      <c r="AK476" s="83">
        <v>0</v>
      </c>
      <c r="AL476" s="83"/>
      <c r="AM476" s="264">
        <f t="shared" si="889"/>
        <v>0</v>
      </c>
      <c r="AN476" s="83">
        <v>0</v>
      </c>
      <c r="AO476" s="83">
        <v>0</v>
      </c>
      <c r="AP476" s="264">
        <f t="shared" si="950"/>
        <v>0</v>
      </c>
      <c r="AQ476" s="578">
        <f t="shared" si="890"/>
        <v>0</v>
      </c>
      <c r="AR476" s="47"/>
    </row>
    <row r="477" spans="2:44" ht="36" customHeight="1">
      <c r="B477" s="35" t="s">
        <v>1011</v>
      </c>
      <c r="C477" s="608" t="s">
        <v>1023</v>
      </c>
      <c r="D477" s="92"/>
      <c r="E477" s="330" t="s">
        <v>69</v>
      </c>
      <c r="F477" s="335" t="s">
        <v>370</v>
      </c>
      <c r="G477" s="345">
        <v>2025</v>
      </c>
      <c r="H477" s="345">
        <v>2025</v>
      </c>
      <c r="I477" s="83">
        <v>0</v>
      </c>
      <c r="J477" s="83">
        <v>0</v>
      </c>
      <c r="K477" s="264">
        <f t="shared" si="941"/>
        <v>0</v>
      </c>
      <c r="L477" s="83">
        <v>0</v>
      </c>
      <c r="M477" s="83">
        <v>0</v>
      </c>
      <c r="N477" s="264">
        <f t="shared" si="942"/>
        <v>0</v>
      </c>
      <c r="O477" s="83">
        <v>0</v>
      </c>
      <c r="P477" s="83">
        <v>0</v>
      </c>
      <c r="Q477" s="264">
        <f t="shared" si="943"/>
        <v>0</v>
      </c>
      <c r="R477" s="83">
        <v>0</v>
      </c>
      <c r="S477" s="83">
        <v>0</v>
      </c>
      <c r="T477" s="264">
        <f t="shared" si="944"/>
        <v>0</v>
      </c>
      <c r="U477" s="83">
        <v>0</v>
      </c>
      <c r="V477" s="83">
        <v>0</v>
      </c>
      <c r="W477" s="264">
        <f t="shared" si="945"/>
        <v>0</v>
      </c>
      <c r="X477" s="83">
        <v>0</v>
      </c>
      <c r="Y477" s="83">
        <v>0</v>
      </c>
      <c r="Z477" s="264">
        <f t="shared" si="946"/>
        <v>0</v>
      </c>
      <c r="AA477" s="83">
        <v>0</v>
      </c>
      <c r="AB477" s="83">
        <v>0</v>
      </c>
      <c r="AC477" s="264">
        <f t="shared" si="947"/>
        <v>0</v>
      </c>
      <c r="AD477" s="83">
        <f t="shared" si="935"/>
        <v>0</v>
      </c>
      <c r="AE477" s="83">
        <f t="shared" si="936"/>
        <v>0</v>
      </c>
      <c r="AF477" s="264">
        <f t="shared" si="948"/>
        <v>0</v>
      </c>
      <c r="AG477" s="83">
        <v>0</v>
      </c>
      <c r="AH477" s="83">
        <v>0</v>
      </c>
      <c r="AI477" s="264">
        <f t="shared" si="949"/>
        <v>0</v>
      </c>
      <c r="AJ477" s="83">
        <v>0</v>
      </c>
      <c r="AK477" s="83">
        <v>0</v>
      </c>
      <c r="AL477" s="83"/>
      <c r="AM477" s="264">
        <f t="shared" si="889"/>
        <v>0</v>
      </c>
      <c r="AN477" s="83">
        <v>0</v>
      </c>
      <c r="AO477" s="83">
        <v>0</v>
      </c>
      <c r="AP477" s="264">
        <f t="shared" si="950"/>
        <v>0</v>
      </c>
      <c r="AQ477" s="578">
        <f t="shared" si="890"/>
        <v>0</v>
      </c>
      <c r="AR477" s="47"/>
    </row>
    <row r="478" spans="2:44" ht="36" customHeight="1">
      <c r="B478" s="88" t="s">
        <v>1012</v>
      </c>
      <c r="C478" s="607" t="s">
        <v>1024</v>
      </c>
      <c r="D478" s="180"/>
      <c r="E478" s="340" t="s">
        <v>69</v>
      </c>
      <c r="F478" s="446" t="s">
        <v>1027</v>
      </c>
      <c r="G478" s="346">
        <v>2025</v>
      </c>
      <c r="H478" s="346">
        <v>2025</v>
      </c>
      <c r="I478" s="83">
        <v>0</v>
      </c>
      <c r="J478" s="83">
        <v>0</v>
      </c>
      <c r="K478" s="270">
        <f t="shared" si="941"/>
        <v>0</v>
      </c>
      <c r="L478" s="586">
        <v>801170</v>
      </c>
      <c r="M478" s="586">
        <v>0</v>
      </c>
      <c r="N478" s="270">
        <f t="shared" si="942"/>
        <v>801170</v>
      </c>
      <c r="O478" s="83">
        <v>0</v>
      </c>
      <c r="P478" s="83">
        <v>0</v>
      </c>
      <c r="Q478" s="270">
        <f t="shared" si="943"/>
        <v>0</v>
      </c>
      <c r="R478" s="83">
        <v>0</v>
      </c>
      <c r="S478" s="83">
        <v>0</v>
      </c>
      <c r="T478" s="270">
        <f t="shared" si="944"/>
        <v>0</v>
      </c>
      <c r="U478" s="83">
        <v>0</v>
      </c>
      <c r="V478" s="83">
        <v>0</v>
      </c>
      <c r="W478" s="270">
        <f t="shared" si="945"/>
        <v>0</v>
      </c>
      <c r="X478" s="83">
        <v>0</v>
      </c>
      <c r="Y478" s="83">
        <v>0</v>
      </c>
      <c r="Z478" s="270">
        <f t="shared" si="946"/>
        <v>0</v>
      </c>
      <c r="AA478" s="83">
        <v>0</v>
      </c>
      <c r="AB478" s="83">
        <v>0</v>
      </c>
      <c r="AC478" s="270">
        <f t="shared" si="947"/>
        <v>0</v>
      </c>
      <c r="AD478" s="83">
        <f t="shared" si="935"/>
        <v>801170</v>
      </c>
      <c r="AE478" s="83">
        <f t="shared" si="936"/>
        <v>0</v>
      </c>
      <c r="AF478" s="270">
        <f t="shared" si="948"/>
        <v>801170</v>
      </c>
      <c r="AG478" s="586">
        <v>801170</v>
      </c>
      <c r="AH478" s="83">
        <v>0</v>
      </c>
      <c r="AI478" s="270">
        <f t="shared" si="949"/>
        <v>801170</v>
      </c>
      <c r="AJ478" s="83">
        <v>0</v>
      </c>
      <c r="AK478" s="83">
        <v>0</v>
      </c>
      <c r="AL478" s="586"/>
      <c r="AM478" s="270">
        <f t="shared" si="889"/>
        <v>0</v>
      </c>
      <c r="AN478" s="83">
        <v>0</v>
      </c>
      <c r="AO478" s="83">
        <v>0</v>
      </c>
      <c r="AP478" s="270">
        <f t="shared" si="950"/>
        <v>0</v>
      </c>
      <c r="AQ478" s="587">
        <f t="shared" si="890"/>
        <v>0</v>
      </c>
      <c r="AR478" s="47"/>
    </row>
    <row r="479" spans="2:44" s="614" customFormat="1" ht="36" customHeight="1">
      <c r="B479" s="206"/>
      <c r="C479" s="237" t="s">
        <v>1029</v>
      </c>
      <c r="D479" s="237"/>
      <c r="E479" s="616"/>
      <c r="F479" s="616"/>
      <c r="G479" s="616"/>
      <c r="H479" s="616"/>
      <c r="I479" s="484">
        <f>SUM(I428,I436,I439,I443,I448,I451,I453,I459,I462,I465,I468,I473)</f>
        <v>9955010</v>
      </c>
      <c r="J479" s="484">
        <f t="shared" ref="J479:K479" si="951">SUM(J428,J436,J439,J443,J448,J451,J453,J459,J462,J465,J468,J473)</f>
        <v>355000000</v>
      </c>
      <c r="K479" s="484">
        <f t="shared" si="951"/>
        <v>364955010</v>
      </c>
      <c r="L479" s="484">
        <f t="shared" ref="L479:AK479" si="952">SUM(L428,L436,L439,L443,L448,L451,L453,L459,L462,L465,L468,L473)</f>
        <v>28478290</v>
      </c>
      <c r="M479" s="484">
        <f t="shared" si="952"/>
        <v>370156000</v>
      </c>
      <c r="N479" s="484">
        <f t="shared" si="952"/>
        <v>398634290</v>
      </c>
      <c r="O479" s="484">
        <f t="shared" si="952"/>
        <v>22286925</v>
      </c>
      <c r="P479" s="484">
        <f t="shared" si="952"/>
        <v>202500000</v>
      </c>
      <c r="Q479" s="484">
        <f t="shared" si="952"/>
        <v>224786925</v>
      </c>
      <c r="R479" s="484">
        <f>SUM(R428,R436,R439,R443,R448,R451,R453,R459,R462,R465,R468,R473)</f>
        <v>17510020</v>
      </c>
      <c r="S479" s="484">
        <f t="shared" ref="S479:T479" si="953">SUM(S428,S436,S439,S443,S448,S451,S453,S459,S462,S465,S468,S473)</f>
        <v>87750000</v>
      </c>
      <c r="T479" s="484">
        <f t="shared" si="953"/>
        <v>105260020</v>
      </c>
      <c r="U479" s="484">
        <f t="shared" si="952"/>
        <v>15501850</v>
      </c>
      <c r="V479" s="484">
        <f t="shared" si="952"/>
        <v>0</v>
      </c>
      <c r="W479" s="484">
        <f t="shared" si="952"/>
        <v>15501850</v>
      </c>
      <c r="X479" s="484">
        <f t="shared" si="952"/>
        <v>15501850</v>
      </c>
      <c r="Y479" s="484">
        <f t="shared" si="952"/>
        <v>0</v>
      </c>
      <c r="Z479" s="484">
        <f t="shared" si="952"/>
        <v>15501850</v>
      </c>
      <c r="AA479" s="484">
        <f t="shared" si="952"/>
        <v>15501850</v>
      </c>
      <c r="AB479" s="484">
        <f t="shared" si="952"/>
        <v>0</v>
      </c>
      <c r="AC479" s="484">
        <f t="shared" si="952"/>
        <v>15501850</v>
      </c>
      <c r="AD479" s="484">
        <f>SUM(AD428,AD436,AD439,AD443,AD448,AD451,AD453,AD459,AD462,AD465,AD468,AD473)</f>
        <v>124735795</v>
      </c>
      <c r="AE479" s="484">
        <f t="shared" si="952"/>
        <v>1015406000</v>
      </c>
      <c r="AF479" s="484">
        <f t="shared" si="952"/>
        <v>1140141795</v>
      </c>
      <c r="AG479" s="484">
        <f t="shared" si="952"/>
        <v>43920225</v>
      </c>
      <c r="AH479" s="484">
        <f t="shared" si="952"/>
        <v>1005406000</v>
      </c>
      <c r="AI479" s="484">
        <f t="shared" si="952"/>
        <v>1049326225</v>
      </c>
      <c r="AJ479" s="484">
        <f t="shared" si="952"/>
        <v>0</v>
      </c>
      <c r="AK479" s="484">
        <f t="shared" si="952"/>
        <v>0</v>
      </c>
      <c r="AL479" s="484"/>
      <c r="AM479" s="484">
        <f t="shared" ref="AM479:AQ479" si="954">SUM(AM428,AM436,AM439,AM443,AM448,AM451,AM453,AM459,AM462,AM465,AM468,AM473)</f>
        <v>0</v>
      </c>
      <c r="AN479" s="484">
        <f t="shared" si="954"/>
        <v>38815570</v>
      </c>
      <c r="AO479" s="484">
        <f t="shared" si="954"/>
        <v>0</v>
      </c>
      <c r="AP479" s="484">
        <f t="shared" si="954"/>
        <v>38815570</v>
      </c>
      <c r="AQ479" s="591">
        <f t="shared" si="954"/>
        <v>-52000000</v>
      </c>
      <c r="AR479" s="615"/>
    </row>
    <row r="480" spans="2:44" s="4" customFormat="1" ht="52.9" customHeight="1">
      <c r="B480" s="100">
        <v>3.6</v>
      </c>
      <c r="C480" s="123" t="s">
        <v>1575</v>
      </c>
      <c r="D480" s="124"/>
      <c r="E480" s="125"/>
      <c r="F480" s="125"/>
      <c r="G480" s="125"/>
      <c r="H480" s="125"/>
      <c r="I480" s="126"/>
      <c r="J480" s="126"/>
      <c r="K480" s="126"/>
      <c r="L480" s="126"/>
      <c r="M480" s="126"/>
      <c r="N480" s="126"/>
      <c r="O480" s="126"/>
      <c r="P480" s="126"/>
      <c r="Q480" s="126"/>
      <c r="R480" s="126"/>
      <c r="S480" s="126"/>
      <c r="T480" s="126"/>
      <c r="U480" s="126"/>
      <c r="V480" s="126"/>
      <c r="W480" s="126"/>
      <c r="X480" s="126"/>
      <c r="Y480" s="126"/>
      <c r="Z480" s="126"/>
      <c r="AA480" s="126"/>
      <c r="AB480" s="126"/>
      <c r="AC480" s="126"/>
      <c r="AD480" s="126"/>
      <c r="AE480" s="126"/>
      <c r="AF480" s="126"/>
      <c r="AG480" s="126"/>
      <c r="AH480" s="126"/>
      <c r="AI480" s="126"/>
      <c r="AJ480" s="126"/>
      <c r="AK480" s="126"/>
      <c r="AL480" s="126"/>
      <c r="AM480" s="126"/>
      <c r="AN480" s="126"/>
      <c r="AO480" s="126"/>
      <c r="AP480" s="126"/>
      <c r="AQ480" s="613"/>
      <c r="AR480" s="48"/>
    </row>
    <row r="481" spans="2:44" ht="36" customHeight="1">
      <c r="B481" s="61"/>
      <c r="C481" s="62" t="s">
        <v>68</v>
      </c>
      <c r="D481" s="92"/>
      <c r="E481" s="93"/>
      <c r="F481" s="93"/>
      <c r="G481" s="93"/>
      <c r="H481" s="93"/>
      <c r="I481" s="83"/>
      <c r="J481" s="83"/>
      <c r="K481" s="83"/>
      <c r="L481" s="83"/>
      <c r="M481" s="83"/>
      <c r="N481" s="83"/>
      <c r="O481" s="83"/>
      <c r="P481" s="83"/>
      <c r="Q481" s="83"/>
      <c r="R481" s="83"/>
      <c r="S481" s="83"/>
      <c r="T481" s="83"/>
      <c r="U481" s="83"/>
      <c r="V481" s="83"/>
      <c r="W481" s="83"/>
      <c r="X481" s="83"/>
      <c r="Y481" s="83"/>
      <c r="Z481" s="83"/>
      <c r="AA481" s="83"/>
      <c r="AB481" s="83"/>
      <c r="AC481" s="83"/>
      <c r="AD481" s="83"/>
      <c r="AE481" s="83"/>
      <c r="AF481" s="83"/>
      <c r="AG481" s="83"/>
      <c r="AH481" s="83"/>
      <c r="AI481" s="83"/>
      <c r="AJ481" s="83"/>
      <c r="AK481" s="83"/>
      <c r="AL481" s="83"/>
      <c r="AM481" s="83"/>
      <c r="AN481" s="83"/>
      <c r="AO481" s="83"/>
      <c r="AP481" s="83"/>
      <c r="AQ481" s="112"/>
      <c r="AR481" s="47"/>
    </row>
    <row r="482" spans="2:44" ht="36" customHeight="1" thickBot="1">
      <c r="B482" s="210" t="s">
        <v>1030</v>
      </c>
      <c r="C482" s="571" t="s">
        <v>1055</v>
      </c>
      <c r="D482" s="217"/>
      <c r="E482" s="570" t="s">
        <v>1059</v>
      </c>
      <c r="F482" s="570"/>
      <c r="G482" s="570">
        <v>2024</v>
      </c>
      <c r="H482" s="570">
        <v>2030</v>
      </c>
      <c r="I482" s="197">
        <f>SUM(I483:I485)</f>
        <v>7086710</v>
      </c>
      <c r="J482" s="197">
        <f>SUM(J483:J485)</f>
        <v>0</v>
      </c>
      <c r="K482" s="197">
        <f>I482+J482</f>
        <v>7086710</v>
      </c>
      <c r="L482" s="197">
        <f>SUM(L483:L485)</f>
        <v>7086710</v>
      </c>
      <c r="M482" s="197">
        <f>SUM(M483:M485)</f>
        <v>0</v>
      </c>
      <c r="N482" s="197">
        <f>L482+M482</f>
        <v>7086710</v>
      </c>
      <c r="O482" s="197">
        <f>SUM(O483:O485)</f>
        <v>7086710</v>
      </c>
      <c r="P482" s="197">
        <f>SUM(P483:P485)</f>
        <v>0</v>
      </c>
      <c r="Q482" s="197">
        <f>O482+P482</f>
        <v>7086710</v>
      </c>
      <c r="R482" s="197">
        <f>SUM(R483:R485)</f>
        <v>7086710</v>
      </c>
      <c r="S482" s="197">
        <f>SUM(S483:S485)</f>
        <v>0</v>
      </c>
      <c r="T482" s="197">
        <f>R482+S482</f>
        <v>7086710</v>
      </c>
      <c r="U482" s="197">
        <f>SUM(U483:U485)</f>
        <v>7086710</v>
      </c>
      <c r="V482" s="197">
        <f>SUM(V483:V485)</f>
        <v>0</v>
      </c>
      <c r="W482" s="197">
        <f>U482+V482</f>
        <v>7086710</v>
      </c>
      <c r="X482" s="197">
        <f>SUM(X483:X485)</f>
        <v>7086710</v>
      </c>
      <c r="Y482" s="197">
        <f>SUM(Y483:Y485)</f>
        <v>0</v>
      </c>
      <c r="Z482" s="197">
        <f>SUM(Z483:Z485)</f>
        <v>7086710</v>
      </c>
      <c r="AA482" s="197">
        <f>SUM(AA483:AA485)</f>
        <v>7086710</v>
      </c>
      <c r="AB482" s="197">
        <f>SUM(AB483:AB485)</f>
        <v>0</v>
      </c>
      <c r="AC482" s="197">
        <f>SUM(AA482:AB482)</f>
        <v>7086710</v>
      </c>
      <c r="AD482" s="197">
        <f t="shared" ref="AD482:AD485" si="955">I482+L482+O482+R482+U482+X482+AA482</f>
        <v>49606970</v>
      </c>
      <c r="AE482" s="197">
        <f t="shared" ref="AE482:AE484" si="956">J482+M482+P482+S482+V482+Y482+AB482</f>
        <v>0</v>
      </c>
      <c r="AF482" s="197">
        <f>AD482+AE482</f>
        <v>49606970</v>
      </c>
      <c r="AG482" s="197">
        <f>SUM(AG483:AG485)</f>
        <v>21260130</v>
      </c>
      <c r="AH482" s="197">
        <f>SUM(AH483:AH485)</f>
        <v>0</v>
      </c>
      <c r="AI482" s="197">
        <f>AG482+AH482</f>
        <v>21260130</v>
      </c>
      <c r="AJ482" s="197">
        <f>SUM(AJ483:AJ485)</f>
        <v>0</v>
      </c>
      <c r="AK482" s="197">
        <f>SUM(AK483:AK485)</f>
        <v>0</v>
      </c>
      <c r="AL482" s="197"/>
      <c r="AM482" s="197">
        <f t="shared" ref="AM482:AM496" si="957">AJ482+AK482</f>
        <v>0</v>
      </c>
      <c r="AN482" s="197">
        <f>SUM(AN483:AN485)</f>
        <v>28346840</v>
      </c>
      <c r="AO482" s="197">
        <f>SUM(AO483:AO485)</f>
        <v>0</v>
      </c>
      <c r="AP482" s="197">
        <f>AN482+AO482</f>
        <v>28346840</v>
      </c>
      <c r="AQ482" s="577">
        <f t="shared" ref="AQ482:AQ496" si="958">SUM(AP482+AM482+AI482)-AF482</f>
        <v>0</v>
      </c>
      <c r="AR482" s="47"/>
    </row>
    <row r="483" spans="2:44" ht="36" customHeight="1">
      <c r="B483" s="35" t="s">
        <v>1031</v>
      </c>
      <c r="C483" s="617" t="s">
        <v>1056</v>
      </c>
      <c r="D483" s="92"/>
      <c r="E483" s="568" t="s">
        <v>1059</v>
      </c>
      <c r="F483" s="93"/>
      <c r="G483" s="406">
        <v>2024</v>
      </c>
      <c r="H483" s="406">
        <v>2030</v>
      </c>
      <c r="I483" s="83">
        <v>543355</v>
      </c>
      <c r="J483" s="83">
        <v>0</v>
      </c>
      <c r="K483" s="264">
        <f t="shared" ref="K483:K485" si="959">SUM(I483:J483)</f>
        <v>543355</v>
      </c>
      <c r="L483" s="83">
        <v>543355</v>
      </c>
      <c r="M483" s="83">
        <v>0</v>
      </c>
      <c r="N483" s="264">
        <f t="shared" ref="N483:N485" si="960">SUM(L483:M483)</f>
        <v>543355</v>
      </c>
      <c r="O483" s="83">
        <v>543355</v>
      </c>
      <c r="P483" s="83">
        <v>0</v>
      </c>
      <c r="Q483" s="264">
        <f t="shared" ref="Q483:Q485" si="961">SUM(O483:P483)</f>
        <v>543355</v>
      </c>
      <c r="R483" s="83">
        <v>543355</v>
      </c>
      <c r="S483" s="83">
        <v>0</v>
      </c>
      <c r="T483" s="264">
        <f t="shared" ref="T483:T485" si="962">SUM(R483:S483)</f>
        <v>543355</v>
      </c>
      <c r="U483" s="83">
        <v>543355</v>
      </c>
      <c r="V483" s="83">
        <v>0</v>
      </c>
      <c r="W483" s="264">
        <f t="shared" ref="W483:W485" si="963">SUM(U483:V483)</f>
        <v>543355</v>
      </c>
      <c r="X483" s="83">
        <v>543355</v>
      </c>
      <c r="Y483" s="83">
        <v>0</v>
      </c>
      <c r="Z483" s="264">
        <f t="shared" ref="Z483:Z485" si="964">SUM(X483:Y483)</f>
        <v>543355</v>
      </c>
      <c r="AA483" s="83">
        <v>543355</v>
      </c>
      <c r="AB483" s="83">
        <v>0</v>
      </c>
      <c r="AC483" s="264">
        <f t="shared" ref="AC483:AC485" si="965">SUM(AA483:AB483)</f>
        <v>543355</v>
      </c>
      <c r="AD483" s="83">
        <f t="shared" si="955"/>
        <v>3803485</v>
      </c>
      <c r="AE483" s="83">
        <f t="shared" si="956"/>
        <v>0</v>
      </c>
      <c r="AF483" s="264">
        <f t="shared" ref="AF483:AF485" si="966">AD483+AE483</f>
        <v>3803485</v>
      </c>
      <c r="AG483" s="83">
        <f>543355*3</f>
        <v>1630065</v>
      </c>
      <c r="AH483" s="83">
        <v>0</v>
      </c>
      <c r="AI483" s="264">
        <f t="shared" ref="AI483:AI485" si="967">SUM(AG483:AH483)</f>
        <v>1630065</v>
      </c>
      <c r="AJ483" s="83">
        <v>0</v>
      </c>
      <c r="AK483" s="83">
        <v>0</v>
      </c>
      <c r="AL483" s="83"/>
      <c r="AM483" s="264">
        <f t="shared" si="957"/>
        <v>0</v>
      </c>
      <c r="AN483" s="83">
        <f>543355*4</f>
        <v>2173420</v>
      </c>
      <c r="AO483" s="83">
        <v>0</v>
      </c>
      <c r="AP483" s="264">
        <f t="shared" ref="AP483:AP485" si="968">SUM(AN483:AO483)</f>
        <v>2173420</v>
      </c>
      <c r="AQ483" s="578">
        <f t="shared" si="958"/>
        <v>0</v>
      </c>
      <c r="AR483" s="47"/>
    </row>
    <row r="484" spans="2:44" ht="36" customHeight="1">
      <c r="B484" s="35" t="s">
        <v>1032</v>
      </c>
      <c r="C484" s="618" t="s">
        <v>1057</v>
      </c>
      <c r="D484" s="92"/>
      <c r="E484" s="552" t="s">
        <v>1059</v>
      </c>
      <c r="F484" s="93"/>
      <c r="G484" s="406">
        <v>2024</v>
      </c>
      <c r="H484" s="406">
        <v>2030</v>
      </c>
      <c r="I484" s="83">
        <v>543355</v>
      </c>
      <c r="J484" s="83">
        <v>0</v>
      </c>
      <c r="K484" s="264">
        <f t="shared" si="959"/>
        <v>543355</v>
      </c>
      <c r="L484" s="83">
        <v>543355</v>
      </c>
      <c r="M484" s="83">
        <v>0</v>
      </c>
      <c r="N484" s="264">
        <f t="shared" si="960"/>
        <v>543355</v>
      </c>
      <c r="O484" s="83">
        <v>543355</v>
      </c>
      <c r="P484" s="83">
        <v>0</v>
      </c>
      <c r="Q484" s="264">
        <f t="shared" si="961"/>
        <v>543355</v>
      </c>
      <c r="R484" s="83">
        <v>543355</v>
      </c>
      <c r="S484" s="83">
        <v>0</v>
      </c>
      <c r="T484" s="264">
        <f t="shared" si="962"/>
        <v>543355</v>
      </c>
      <c r="U484" s="83">
        <v>543355</v>
      </c>
      <c r="V484" s="83">
        <v>0</v>
      </c>
      <c r="W484" s="264">
        <f t="shared" si="963"/>
        <v>543355</v>
      </c>
      <c r="X484" s="83">
        <v>543355</v>
      </c>
      <c r="Y484" s="83">
        <v>0</v>
      </c>
      <c r="Z484" s="264">
        <f t="shared" si="964"/>
        <v>543355</v>
      </c>
      <c r="AA484" s="83">
        <v>543355</v>
      </c>
      <c r="AB484" s="83">
        <v>0</v>
      </c>
      <c r="AC484" s="264">
        <f t="shared" si="965"/>
        <v>543355</v>
      </c>
      <c r="AD484" s="83">
        <f t="shared" si="955"/>
        <v>3803485</v>
      </c>
      <c r="AE484" s="83">
        <f t="shared" si="956"/>
        <v>0</v>
      </c>
      <c r="AF484" s="264">
        <f t="shared" si="966"/>
        <v>3803485</v>
      </c>
      <c r="AG484" s="83">
        <f>543355*3</f>
        <v>1630065</v>
      </c>
      <c r="AH484" s="83">
        <v>0</v>
      </c>
      <c r="AI484" s="264">
        <f t="shared" si="967"/>
        <v>1630065</v>
      </c>
      <c r="AJ484" s="83">
        <v>0</v>
      </c>
      <c r="AK484" s="83">
        <v>0</v>
      </c>
      <c r="AL484" s="83"/>
      <c r="AM484" s="264">
        <f t="shared" si="957"/>
        <v>0</v>
      </c>
      <c r="AN484" s="83">
        <f>543355*4</f>
        <v>2173420</v>
      </c>
      <c r="AO484" s="83">
        <v>0</v>
      </c>
      <c r="AP484" s="264">
        <f t="shared" si="968"/>
        <v>2173420</v>
      </c>
      <c r="AQ484" s="578">
        <f t="shared" si="958"/>
        <v>0</v>
      </c>
      <c r="AR484" s="47"/>
    </row>
    <row r="485" spans="2:44" ht="36" customHeight="1">
      <c r="B485" s="35" t="s">
        <v>1033</v>
      </c>
      <c r="C485" s="619" t="s">
        <v>1058</v>
      </c>
      <c r="D485" s="92"/>
      <c r="E485" s="563" t="s">
        <v>1059</v>
      </c>
      <c r="F485" s="93"/>
      <c r="G485" s="406">
        <v>2024</v>
      </c>
      <c r="H485" s="406">
        <v>2030</v>
      </c>
      <c r="I485" s="83">
        <v>6000000</v>
      </c>
      <c r="J485" s="83">
        <v>0</v>
      </c>
      <c r="K485" s="264">
        <f t="shared" si="959"/>
        <v>6000000</v>
      </c>
      <c r="L485" s="83">
        <v>6000000</v>
      </c>
      <c r="M485" s="83">
        <v>0</v>
      </c>
      <c r="N485" s="264">
        <f t="shared" si="960"/>
        <v>6000000</v>
      </c>
      <c r="O485" s="83">
        <v>6000000</v>
      </c>
      <c r="P485" s="83">
        <v>0</v>
      </c>
      <c r="Q485" s="264">
        <f t="shared" si="961"/>
        <v>6000000</v>
      </c>
      <c r="R485" s="83">
        <v>6000000</v>
      </c>
      <c r="S485" s="83">
        <v>0</v>
      </c>
      <c r="T485" s="264">
        <f t="shared" si="962"/>
        <v>6000000</v>
      </c>
      <c r="U485" s="83">
        <v>6000000</v>
      </c>
      <c r="V485" s="83">
        <v>0</v>
      </c>
      <c r="W485" s="264">
        <f t="shared" si="963"/>
        <v>6000000</v>
      </c>
      <c r="X485" s="83">
        <v>6000000</v>
      </c>
      <c r="Y485" s="83">
        <v>0</v>
      </c>
      <c r="Z485" s="264">
        <f t="shared" si="964"/>
        <v>6000000</v>
      </c>
      <c r="AA485" s="83">
        <v>6000000</v>
      </c>
      <c r="AB485" s="83">
        <v>0</v>
      </c>
      <c r="AC485" s="264">
        <f t="shared" si="965"/>
        <v>6000000</v>
      </c>
      <c r="AD485" s="83">
        <f t="shared" si="955"/>
        <v>42000000</v>
      </c>
      <c r="AE485" s="83">
        <v>0</v>
      </c>
      <c r="AF485" s="264">
        <f t="shared" si="966"/>
        <v>42000000</v>
      </c>
      <c r="AG485" s="83">
        <f>6000000*3</f>
        <v>18000000</v>
      </c>
      <c r="AH485" s="83">
        <v>0</v>
      </c>
      <c r="AI485" s="264">
        <f t="shared" si="967"/>
        <v>18000000</v>
      </c>
      <c r="AJ485" s="83">
        <v>0</v>
      </c>
      <c r="AK485" s="83">
        <v>0</v>
      </c>
      <c r="AL485" s="83"/>
      <c r="AM485" s="264">
        <f t="shared" si="957"/>
        <v>0</v>
      </c>
      <c r="AN485" s="83">
        <f>6000000*4</f>
        <v>24000000</v>
      </c>
      <c r="AO485" s="83">
        <v>0</v>
      </c>
      <c r="AP485" s="264">
        <f t="shared" si="968"/>
        <v>24000000</v>
      </c>
      <c r="AQ485" s="578">
        <f t="shared" si="958"/>
        <v>0</v>
      </c>
      <c r="AR485" s="47"/>
    </row>
    <row r="486" spans="2:44" ht="36" customHeight="1">
      <c r="B486" s="210" t="s">
        <v>1034</v>
      </c>
      <c r="C486" s="571" t="s">
        <v>1060</v>
      </c>
      <c r="D486" s="217"/>
      <c r="E486" s="570" t="s">
        <v>1059</v>
      </c>
      <c r="F486" s="570"/>
      <c r="G486" s="570">
        <v>2024</v>
      </c>
      <c r="H486" s="570">
        <v>2030</v>
      </c>
      <c r="I486" s="197">
        <f>SUM(I487:I489)</f>
        <v>1630065</v>
      </c>
      <c r="J486" s="197">
        <f>SUM(J487:J489)</f>
        <v>0</v>
      </c>
      <c r="K486" s="197">
        <f>I486+J486</f>
        <v>1630065</v>
      </c>
      <c r="L486" s="197">
        <f>SUM(L487:L489)</f>
        <v>543355</v>
      </c>
      <c r="M486" s="197">
        <f>SUM(M487:M489)</f>
        <v>0</v>
      </c>
      <c r="N486" s="197">
        <f>L486+M486</f>
        <v>543355</v>
      </c>
      <c r="O486" s="197">
        <f>SUM(O487:O489)</f>
        <v>2343355</v>
      </c>
      <c r="P486" s="197">
        <f>SUM(P487:P489)</f>
        <v>0</v>
      </c>
      <c r="Q486" s="197">
        <f>O486+P486</f>
        <v>2343355</v>
      </c>
      <c r="R486" s="197">
        <f>SUM(R487:R489)</f>
        <v>543355</v>
      </c>
      <c r="S486" s="197">
        <f>SUM(S487:S489)</f>
        <v>0</v>
      </c>
      <c r="T486" s="197">
        <f>R486+S486</f>
        <v>543355</v>
      </c>
      <c r="U486" s="197">
        <f>SUM(U487:U489)</f>
        <v>2343355</v>
      </c>
      <c r="V486" s="197">
        <f>SUM(V487:V489)</f>
        <v>0</v>
      </c>
      <c r="W486" s="197">
        <f>U486+V486</f>
        <v>2343355</v>
      </c>
      <c r="X486" s="197">
        <f>SUM(X487:X489)</f>
        <v>543355</v>
      </c>
      <c r="Y486" s="197">
        <f>SUM(Y487:Y489)</f>
        <v>0</v>
      </c>
      <c r="Z486" s="197">
        <f>SUM(Z487:Z489)</f>
        <v>543355</v>
      </c>
      <c r="AA486" s="197">
        <f>SUM(AA487:AA489)</f>
        <v>2343355</v>
      </c>
      <c r="AB486" s="197">
        <f>SUM(AB487:AB489)</f>
        <v>0</v>
      </c>
      <c r="AC486" s="197">
        <f>SUM(AA486:AB486)</f>
        <v>2343355</v>
      </c>
      <c r="AD486" s="197">
        <f t="shared" ref="AD486:AD489" si="969">I486+L486+O486+R486+U486+X486+AA486</f>
        <v>10290195</v>
      </c>
      <c r="AE486" s="197">
        <f t="shared" ref="AE486:AE487" si="970">J486+M486+P486+S486+V486+Y486+AB486</f>
        <v>0</v>
      </c>
      <c r="AF486" s="197">
        <f>AD486+AE486</f>
        <v>10290195</v>
      </c>
      <c r="AG486" s="197">
        <f>SUM(AG487:AG489)</f>
        <v>2716775</v>
      </c>
      <c r="AH486" s="197">
        <f>SUM(AH487:AH489)</f>
        <v>0</v>
      </c>
      <c r="AI486" s="197">
        <f>AG486+AH486</f>
        <v>2716775</v>
      </c>
      <c r="AJ486" s="197">
        <f>SUM(AJ487:AJ489)</f>
        <v>0</v>
      </c>
      <c r="AK486" s="197">
        <f>SUM(AK487:AK489)</f>
        <v>0</v>
      </c>
      <c r="AL486" s="197"/>
      <c r="AM486" s="197">
        <f t="shared" si="957"/>
        <v>0</v>
      </c>
      <c r="AN486" s="197">
        <f>SUM(AN487:AN489)</f>
        <v>2173420</v>
      </c>
      <c r="AO486" s="197">
        <f>SUM(AO487:AO489)</f>
        <v>0</v>
      </c>
      <c r="AP486" s="197">
        <f>AN486+AO486</f>
        <v>2173420</v>
      </c>
      <c r="AQ486" s="577">
        <f t="shared" si="958"/>
        <v>-5400000</v>
      </c>
      <c r="AR486" s="47"/>
    </row>
    <row r="487" spans="2:44" ht="36" customHeight="1">
      <c r="B487" s="210" t="s">
        <v>1038</v>
      </c>
      <c r="C487" s="618" t="s">
        <v>1061</v>
      </c>
      <c r="D487" s="92"/>
      <c r="E487" s="552" t="s">
        <v>1064</v>
      </c>
      <c r="F487" s="93"/>
      <c r="G487" s="406">
        <v>2024</v>
      </c>
      <c r="H487" s="406">
        <v>2024</v>
      </c>
      <c r="I487" s="83">
        <v>1086710</v>
      </c>
      <c r="J487" s="83">
        <v>0</v>
      </c>
      <c r="K487" s="264">
        <f t="shared" ref="K487:K489" si="971">SUM(I487:J487)</f>
        <v>1086710</v>
      </c>
      <c r="L487" s="83">
        <v>0</v>
      </c>
      <c r="M487" s="83">
        <v>0</v>
      </c>
      <c r="N487" s="264">
        <f t="shared" ref="N487:N489" si="972">SUM(L487:M487)</f>
        <v>0</v>
      </c>
      <c r="O487" s="83">
        <v>0</v>
      </c>
      <c r="P487" s="83">
        <v>0</v>
      </c>
      <c r="Q487" s="264">
        <f t="shared" ref="Q487:Q489" si="973">SUM(O487:P487)</f>
        <v>0</v>
      </c>
      <c r="R487" s="83">
        <v>0</v>
      </c>
      <c r="S487" s="83">
        <v>0</v>
      </c>
      <c r="T487" s="264">
        <f t="shared" ref="T487:T489" si="974">SUM(R487:S487)</f>
        <v>0</v>
      </c>
      <c r="U487" s="83">
        <v>0</v>
      </c>
      <c r="V487" s="83">
        <v>0</v>
      </c>
      <c r="W487" s="264">
        <f t="shared" ref="W487:W489" si="975">SUM(U487:V487)</f>
        <v>0</v>
      </c>
      <c r="X487" s="83">
        <v>0</v>
      </c>
      <c r="Y487" s="83">
        <v>0</v>
      </c>
      <c r="Z487" s="264">
        <f t="shared" ref="Z487:Z489" si="976">SUM(X487:Y487)</f>
        <v>0</v>
      </c>
      <c r="AA487" s="83">
        <v>0</v>
      </c>
      <c r="AB487" s="83">
        <v>0</v>
      </c>
      <c r="AC487" s="264">
        <f t="shared" ref="AC487:AC489" si="977">SUM(AA487:AB487)</f>
        <v>0</v>
      </c>
      <c r="AD487" s="83">
        <f t="shared" si="969"/>
        <v>1086710</v>
      </c>
      <c r="AE487" s="83">
        <f t="shared" si="970"/>
        <v>0</v>
      </c>
      <c r="AF487" s="264">
        <f t="shared" ref="AF487:AF489" si="978">AD487+AE487</f>
        <v>1086710</v>
      </c>
      <c r="AG487" s="83">
        <v>1086710</v>
      </c>
      <c r="AH487" s="83">
        <v>0</v>
      </c>
      <c r="AI487" s="264">
        <f t="shared" ref="AI487:AI489" si="979">SUM(AG487:AH487)</f>
        <v>1086710</v>
      </c>
      <c r="AJ487" s="83">
        <v>0</v>
      </c>
      <c r="AK487" s="83">
        <v>0</v>
      </c>
      <c r="AL487" s="83"/>
      <c r="AM487" s="264">
        <f t="shared" si="957"/>
        <v>0</v>
      </c>
      <c r="AN487" s="83">
        <v>0</v>
      </c>
      <c r="AO487" s="83">
        <v>0</v>
      </c>
      <c r="AP487" s="264">
        <f t="shared" ref="AP487:AP489" si="980">SUM(AN487:AO487)</f>
        <v>0</v>
      </c>
      <c r="AQ487" s="578">
        <f t="shared" si="958"/>
        <v>0</v>
      </c>
      <c r="AR487" s="47"/>
    </row>
    <row r="488" spans="2:44" ht="36" customHeight="1">
      <c r="B488" s="210" t="s">
        <v>1039</v>
      </c>
      <c r="C488" s="618" t="s">
        <v>1062</v>
      </c>
      <c r="D488" s="92"/>
      <c r="E488" s="552" t="s">
        <v>1064</v>
      </c>
      <c r="F488" s="93"/>
      <c r="G488" s="406">
        <v>2024</v>
      </c>
      <c r="H488" s="406">
        <v>2030</v>
      </c>
      <c r="I488" s="83">
        <v>543355</v>
      </c>
      <c r="J488" s="83">
        <v>0</v>
      </c>
      <c r="K488" s="264">
        <f t="shared" si="971"/>
        <v>543355</v>
      </c>
      <c r="L488" s="83">
        <v>543355</v>
      </c>
      <c r="M488" s="83">
        <v>0</v>
      </c>
      <c r="N488" s="264">
        <f t="shared" si="972"/>
        <v>543355</v>
      </c>
      <c r="O488" s="83">
        <v>543355</v>
      </c>
      <c r="P488" s="83">
        <v>0</v>
      </c>
      <c r="Q488" s="264">
        <f t="shared" si="973"/>
        <v>543355</v>
      </c>
      <c r="R488" s="83">
        <v>543355</v>
      </c>
      <c r="S488" s="83">
        <v>0</v>
      </c>
      <c r="T488" s="264">
        <f t="shared" si="974"/>
        <v>543355</v>
      </c>
      <c r="U488" s="83">
        <v>543355</v>
      </c>
      <c r="V488" s="83">
        <v>0</v>
      </c>
      <c r="W488" s="264">
        <f t="shared" si="975"/>
        <v>543355</v>
      </c>
      <c r="X488" s="83">
        <v>543355</v>
      </c>
      <c r="Y488" s="83">
        <v>0</v>
      </c>
      <c r="Z488" s="264">
        <f t="shared" si="976"/>
        <v>543355</v>
      </c>
      <c r="AA488" s="83">
        <v>543355</v>
      </c>
      <c r="AB488" s="83">
        <v>0</v>
      </c>
      <c r="AC488" s="264">
        <f t="shared" si="977"/>
        <v>543355</v>
      </c>
      <c r="AD488" s="83">
        <f t="shared" si="969"/>
        <v>3803485</v>
      </c>
      <c r="AE488" s="83">
        <v>0</v>
      </c>
      <c r="AF488" s="264">
        <f t="shared" si="978"/>
        <v>3803485</v>
      </c>
      <c r="AG488" s="83">
        <f>543355*3</f>
        <v>1630065</v>
      </c>
      <c r="AH488" s="83">
        <v>0</v>
      </c>
      <c r="AI488" s="264">
        <f t="shared" si="979"/>
        <v>1630065</v>
      </c>
      <c r="AJ488" s="83">
        <v>0</v>
      </c>
      <c r="AK488" s="83">
        <v>0</v>
      </c>
      <c r="AL488" s="83"/>
      <c r="AM488" s="264">
        <f t="shared" si="957"/>
        <v>0</v>
      </c>
      <c r="AN488" s="83">
        <f>543355*4</f>
        <v>2173420</v>
      </c>
      <c r="AO488" s="83">
        <v>0</v>
      </c>
      <c r="AP488" s="264">
        <f t="shared" si="980"/>
        <v>2173420</v>
      </c>
      <c r="AQ488" s="578">
        <f t="shared" si="958"/>
        <v>0</v>
      </c>
      <c r="AR488" s="47"/>
    </row>
    <row r="489" spans="2:44" ht="36" customHeight="1">
      <c r="B489" s="210" t="s">
        <v>1040</v>
      </c>
      <c r="C489" s="618" t="s">
        <v>1063</v>
      </c>
      <c r="D489" s="92"/>
      <c r="E489" s="552" t="s">
        <v>1064</v>
      </c>
      <c r="F489" s="93"/>
      <c r="G489" s="406" t="s">
        <v>1065</v>
      </c>
      <c r="H489" s="406" t="s">
        <v>1065</v>
      </c>
      <c r="I489" s="83">
        <v>0</v>
      </c>
      <c r="J489" s="83">
        <v>0</v>
      </c>
      <c r="K489" s="264">
        <f t="shared" si="971"/>
        <v>0</v>
      </c>
      <c r="L489" s="83">
        <v>0</v>
      </c>
      <c r="M489" s="83">
        <v>0</v>
      </c>
      <c r="N489" s="264">
        <f t="shared" si="972"/>
        <v>0</v>
      </c>
      <c r="O489" s="83">
        <v>1800000</v>
      </c>
      <c r="P489" s="83">
        <v>0</v>
      </c>
      <c r="Q489" s="264">
        <f t="shared" si="973"/>
        <v>1800000</v>
      </c>
      <c r="R489" s="83">
        <v>0</v>
      </c>
      <c r="S489" s="83">
        <v>0</v>
      </c>
      <c r="T489" s="264">
        <f t="shared" si="974"/>
        <v>0</v>
      </c>
      <c r="U489" s="83">
        <v>1800000</v>
      </c>
      <c r="V489" s="83">
        <v>0</v>
      </c>
      <c r="W489" s="264">
        <f t="shared" si="975"/>
        <v>1800000</v>
      </c>
      <c r="X489" s="83">
        <v>0</v>
      </c>
      <c r="Y489" s="83">
        <v>0</v>
      </c>
      <c r="Z489" s="264">
        <f t="shared" si="976"/>
        <v>0</v>
      </c>
      <c r="AA489" s="83">
        <v>1800000</v>
      </c>
      <c r="AB489" s="83">
        <v>0</v>
      </c>
      <c r="AC489" s="264">
        <f t="shared" si="977"/>
        <v>1800000</v>
      </c>
      <c r="AD489" s="83">
        <f t="shared" si="969"/>
        <v>5400000</v>
      </c>
      <c r="AE489" s="83">
        <v>0</v>
      </c>
      <c r="AF489" s="264">
        <f t="shared" si="978"/>
        <v>5400000</v>
      </c>
      <c r="AG489" s="83">
        <v>0</v>
      </c>
      <c r="AH489" s="83">
        <v>0</v>
      </c>
      <c r="AI489" s="264">
        <f t="shared" si="979"/>
        <v>0</v>
      </c>
      <c r="AJ489" s="83">
        <v>0</v>
      </c>
      <c r="AK489" s="83">
        <v>0</v>
      </c>
      <c r="AL489" s="83"/>
      <c r="AM489" s="264">
        <f t="shared" si="957"/>
        <v>0</v>
      </c>
      <c r="AN489" s="83">
        <v>0</v>
      </c>
      <c r="AO489" s="83">
        <v>0</v>
      </c>
      <c r="AP489" s="264">
        <f t="shared" si="980"/>
        <v>0</v>
      </c>
      <c r="AQ489" s="578">
        <f t="shared" si="958"/>
        <v>-5400000</v>
      </c>
      <c r="AR489" s="47"/>
    </row>
    <row r="490" spans="2:44" ht="36" customHeight="1">
      <c r="B490" s="210" t="s">
        <v>1035</v>
      </c>
      <c r="C490" s="571" t="s">
        <v>1066</v>
      </c>
      <c r="D490" s="217"/>
      <c r="E490" s="570" t="s">
        <v>1059</v>
      </c>
      <c r="F490" s="570"/>
      <c r="G490" s="570">
        <v>2024</v>
      </c>
      <c r="H490" s="570">
        <v>2030</v>
      </c>
      <c r="I490" s="197">
        <f>SUM(I491:I493)</f>
        <v>543355</v>
      </c>
      <c r="J490" s="197">
        <f>SUM(J491:J493)</f>
        <v>0</v>
      </c>
      <c r="K490" s="197">
        <f>I490+J490</f>
        <v>543355</v>
      </c>
      <c r="L490" s="197">
        <f>SUM(L491:L493)</f>
        <v>22143355</v>
      </c>
      <c r="M490" s="197">
        <f>SUM(M491:M493)</f>
        <v>0</v>
      </c>
      <c r="N490" s="197">
        <f>L490+M490</f>
        <v>22143355</v>
      </c>
      <c r="O490" s="197">
        <f>SUM(O491:O493)</f>
        <v>2343355</v>
      </c>
      <c r="P490" s="197">
        <f>SUM(P491:P493)</f>
        <v>0</v>
      </c>
      <c r="Q490" s="197">
        <f>O490+P490</f>
        <v>2343355</v>
      </c>
      <c r="R490" s="197">
        <f>SUM(R491:R493)</f>
        <v>543355</v>
      </c>
      <c r="S490" s="197">
        <f>SUM(S491:S493)</f>
        <v>0</v>
      </c>
      <c r="T490" s="197">
        <f>R490+S490</f>
        <v>543355</v>
      </c>
      <c r="U490" s="197">
        <f>SUM(U491:U493)</f>
        <v>543355</v>
      </c>
      <c r="V490" s="197">
        <f>SUM(V491:V493)</f>
        <v>0</v>
      </c>
      <c r="W490" s="197">
        <f>U490+V490</f>
        <v>543355</v>
      </c>
      <c r="X490" s="197">
        <f>SUM(X491:X493)</f>
        <v>543355</v>
      </c>
      <c r="Y490" s="197">
        <f>SUM(Y491:Y493)</f>
        <v>0</v>
      </c>
      <c r="Z490" s="197">
        <f>SUM(Z491:Z493)</f>
        <v>543355</v>
      </c>
      <c r="AA490" s="197">
        <f>SUM(AA491:AA493)</f>
        <v>543355</v>
      </c>
      <c r="AB490" s="197">
        <f>SUM(AB491:AB493)</f>
        <v>0</v>
      </c>
      <c r="AC490" s="197">
        <f>SUM(AA490:AB490)</f>
        <v>543355</v>
      </c>
      <c r="AD490" s="197">
        <f t="shared" ref="AD490:AD493" si="981">I490+L490+O490+R490+U490+X490+AA490</f>
        <v>27203485</v>
      </c>
      <c r="AE490" s="197">
        <f t="shared" ref="AE490:AE491" si="982">J490+M490+P490+S490+V490+Y490+AB490</f>
        <v>0</v>
      </c>
      <c r="AF490" s="197">
        <f>AD490+AE490</f>
        <v>27203485</v>
      </c>
      <c r="AG490" s="197">
        <f>SUM(AG491:AG493)</f>
        <v>1630065</v>
      </c>
      <c r="AH490" s="197">
        <f>SUM(AH491:AH493)</f>
        <v>0</v>
      </c>
      <c r="AI490" s="197">
        <f>AG490+AH490</f>
        <v>1630065</v>
      </c>
      <c r="AJ490" s="197">
        <f>SUM(AJ491:AJ493)</f>
        <v>0</v>
      </c>
      <c r="AK490" s="197">
        <f>SUM(AK491:AK493)</f>
        <v>0</v>
      </c>
      <c r="AL490" s="197"/>
      <c r="AM490" s="197">
        <f t="shared" si="957"/>
        <v>0</v>
      </c>
      <c r="AN490" s="197">
        <f>SUM(AN491:AN493)</f>
        <v>2173420</v>
      </c>
      <c r="AO490" s="197">
        <f>SUM(AO491:AO493)</f>
        <v>0</v>
      </c>
      <c r="AP490" s="197">
        <f>AN490+AO490</f>
        <v>2173420</v>
      </c>
      <c r="AQ490" s="577">
        <f t="shared" si="958"/>
        <v>-23400000</v>
      </c>
      <c r="AR490" s="47"/>
    </row>
    <row r="491" spans="2:44" ht="36" customHeight="1">
      <c r="B491" s="35" t="s">
        <v>1041</v>
      </c>
      <c r="C491" s="618" t="s">
        <v>1067</v>
      </c>
      <c r="D491" s="92"/>
      <c r="E491" s="552" t="s">
        <v>1059</v>
      </c>
      <c r="F491" s="93"/>
      <c r="G491" s="406">
        <v>2024</v>
      </c>
      <c r="H491" s="406">
        <v>2030</v>
      </c>
      <c r="I491" s="83">
        <v>543355</v>
      </c>
      <c r="J491" s="83">
        <v>0</v>
      </c>
      <c r="K491" s="264">
        <f t="shared" ref="K491:K493" si="983">SUM(I491:J491)</f>
        <v>543355</v>
      </c>
      <c r="L491" s="83">
        <v>543355</v>
      </c>
      <c r="M491" s="83">
        <v>0</v>
      </c>
      <c r="N491" s="264">
        <f t="shared" ref="N491:N493" si="984">SUM(L491:M491)</f>
        <v>543355</v>
      </c>
      <c r="O491" s="83">
        <v>543355</v>
      </c>
      <c r="P491" s="83">
        <v>0</v>
      </c>
      <c r="Q491" s="264">
        <f t="shared" ref="Q491:Q493" si="985">SUM(O491:P491)</f>
        <v>543355</v>
      </c>
      <c r="R491" s="83">
        <v>543355</v>
      </c>
      <c r="S491" s="83">
        <v>0</v>
      </c>
      <c r="T491" s="264">
        <f t="shared" ref="T491:T493" si="986">SUM(R491:S491)</f>
        <v>543355</v>
      </c>
      <c r="U491" s="83">
        <v>543355</v>
      </c>
      <c r="V491" s="83">
        <v>0</v>
      </c>
      <c r="W491" s="264">
        <f t="shared" ref="W491:W493" si="987">SUM(U491:V491)</f>
        <v>543355</v>
      </c>
      <c r="X491" s="83">
        <v>543355</v>
      </c>
      <c r="Y491" s="83">
        <v>0</v>
      </c>
      <c r="Z491" s="264">
        <f t="shared" ref="Z491:Z493" si="988">SUM(X491:Y491)</f>
        <v>543355</v>
      </c>
      <c r="AA491" s="83">
        <v>543355</v>
      </c>
      <c r="AB491" s="83">
        <v>0</v>
      </c>
      <c r="AC491" s="264">
        <f t="shared" ref="AC491:AC493" si="989">SUM(AA491:AB491)</f>
        <v>543355</v>
      </c>
      <c r="AD491" s="83">
        <f t="shared" si="981"/>
        <v>3803485</v>
      </c>
      <c r="AE491" s="83">
        <f t="shared" si="982"/>
        <v>0</v>
      </c>
      <c r="AF491" s="264">
        <f t="shared" ref="AF491:AF493" si="990">AD491+AE491</f>
        <v>3803485</v>
      </c>
      <c r="AG491" s="83">
        <f>543355*3</f>
        <v>1630065</v>
      </c>
      <c r="AH491" s="83">
        <v>0</v>
      </c>
      <c r="AI491" s="264">
        <f t="shared" ref="AI491:AI493" si="991">SUM(AG491:AH491)</f>
        <v>1630065</v>
      </c>
      <c r="AJ491" s="83">
        <v>0</v>
      </c>
      <c r="AK491" s="83">
        <v>0</v>
      </c>
      <c r="AL491" s="83"/>
      <c r="AM491" s="264">
        <f t="shared" si="957"/>
        <v>0</v>
      </c>
      <c r="AN491" s="83">
        <f>543355*4</f>
        <v>2173420</v>
      </c>
      <c r="AO491" s="83">
        <v>0</v>
      </c>
      <c r="AP491" s="264">
        <f t="shared" ref="AP491:AP493" si="992">SUM(AN491:AO491)</f>
        <v>2173420</v>
      </c>
      <c r="AQ491" s="578">
        <f t="shared" si="958"/>
        <v>0</v>
      </c>
      <c r="AR491" s="47"/>
    </row>
    <row r="492" spans="2:44" ht="36" customHeight="1">
      <c r="B492" s="35" t="s">
        <v>1042</v>
      </c>
      <c r="C492" s="618" t="s">
        <v>1068</v>
      </c>
      <c r="D492" s="92"/>
      <c r="E492" s="552" t="s">
        <v>1059</v>
      </c>
      <c r="F492" s="93"/>
      <c r="G492" s="406">
        <v>2026</v>
      </c>
      <c r="H492" s="406">
        <v>2026</v>
      </c>
      <c r="I492" s="83">
        <v>0</v>
      </c>
      <c r="J492" s="83">
        <v>0</v>
      </c>
      <c r="K492" s="264">
        <f t="shared" si="983"/>
        <v>0</v>
      </c>
      <c r="L492" s="83">
        <v>0</v>
      </c>
      <c r="M492" s="83">
        <v>0</v>
      </c>
      <c r="N492" s="264">
        <f t="shared" si="984"/>
        <v>0</v>
      </c>
      <c r="O492" s="83">
        <v>1800000</v>
      </c>
      <c r="P492" s="83">
        <v>0</v>
      </c>
      <c r="Q492" s="264">
        <f t="shared" si="985"/>
        <v>1800000</v>
      </c>
      <c r="R492" s="83">
        <v>0</v>
      </c>
      <c r="S492" s="83">
        <v>0</v>
      </c>
      <c r="T492" s="264">
        <f t="shared" si="986"/>
        <v>0</v>
      </c>
      <c r="U492" s="83">
        <v>0</v>
      </c>
      <c r="V492" s="83">
        <v>0</v>
      </c>
      <c r="W492" s="264">
        <f t="shared" si="987"/>
        <v>0</v>
      </c>
      <c r="X492" s="83">
        <v>0</v>
      </c>
      <c r="Y492" s="83">
        <v>0</v>
      </c>
      <c r="Z492" s="264">
        <f t="shared" si="988"/>
        <v>0</v>
      </c>
      <c r="AA492" s="83">
        <v>0</v>
      </c>
      <c r="AB492" s="83">
        <v>0</v>
      </c>
      <c r="AC492" s="264">
        <f t="shared" si="989"/>
        <v>0</v>
      </c>
      <c r="AD492" s="83">
        <f t="shared" si="981"/>
        <v>1800000</v>
      </c>
      <c r="AE492" s="83">
        <v>0</v>
      </c>
      <c r="AF492" s="264">
        <f t="shared" si="990"/>
        <v>1800000</v>
      </c>
      <c r="AG492" s="83">
        <v>0</v>
      </c>
      <c r="AH492" s="83">
        <v>0</v>
      </c>
      <c r="AI492" s="264">
        <f t="shared" si="991"/>
        <v>0</v>
      </c>
      <c r="AJ492" s="83">
        <v>0</v>
      </c>
      <c r="AK492" s="83">
        <v>0</v>
      </c>
      <c r="AL492" s="83"/>
      <c r="AM492" s="264">
        <f t="shared" si="957"/>
        <v>0</v>
      </c>
      <c r="AN492" s="83">
        <v>0</v>
      </c>
      <c r="AO492" s="83">
        <v>0</v>
      </c>
      <c r="AP492" s="264">
        <f t="shared" si="992"/>
        <v>0</v>
      </c>
      <c r="AQ492" s="578">
        <f t="shared" si="958"/>
        <v>-1800000</v>
      </c>
      <c r="AR492" s="47"/>
    </row>
    <row r="493" spans="2:44" ht="36" customHeight="1">
      <c r="B493" s="35" t="s">
        <v>1043</v>
      </c>
      <c r="C493" s="618" t="s">
        <v>1069</v>
      </c>
      <c r="D493" s="92"/>
      <c r="E493" s="552" t="s">
        <v>1059</v>
      </c>
      <c r="F493" s="93"/>
      <c r="G493" s="406">
        <v>2025</v>
      </c>
      <c r="H493" s="406">
        <v>2025</v>
      </c>
      <c r="I493" s="83">
        <v>0</v>
      </c>
      <c r="J493" s="83">
        <v>0</v>
      </c>
      <c r="K493" s="264">
        <f t="shared" si="983"/>
        <v>0</v>
      </c>
      <c r="L493" s="83">
        <f>120*2*90000</f>
        <v>21600000</v>
      </c>
      <c r="M493" s="83">
        <v>0</v>
      </c>
      <c r="N493" s="264">
        <f t="shared" si="984"/>
        <v>21600000</v>
      </c>
      <c r="O493" s="83">
        <v>0</v>
      </c>
      <c r="P493" s="83">
        <v>0</v>
      </c>
      <c r="Q493" s="264">
        <f t="shared" si="985"/>
        <v>0</v>
      </c>
      <c r="R493" s="83">
        <v>0</v>
      </c>
      <c r="S493" s="83">
        <v>0</v>
      </c>
      <c r="T493" s="264">
        <f t="shared" si="986"/>
        <v>0</v>
      </c>
      <c r="U493" s="83">
        <v>0</v>
      </c>
      <c r="V493" s="83">
        <v>0</v>
      </c>
      <c r="W493" s="264">
        <f t="shared" si="987"/>
        <v>0</v>
      </c>
      <c r="X493" s="83">
        <v>0</v>
      </c>
      <c r="Y493" s="83">
        <v>0</v>
      </c>
      <c r="Z493" s="264">
        <f t="shared" si="988"/>
        <v>0</v>
      </c>
      <c r="AA493" s="83">
        <v>0</v>
      </c>
      <c r="AB493" s="83">
        <v>0</v>
      </c>
      <c r="AC493" s="264">
        <f t="shared" si="989"/>
        <v>0</v>
      </c>
      <c r="AD493" s="83">
        <f t="shared" si="981"/>
        <v>21600000</v>
      </c>
      <c r="AE493" s="83">
        <v>0</v>
      </c>
      <c r="AF493" s="264">
        <f t="shared" si="990"/>
        <v>21600000</v>
      </c>
      <c r="AG493" s="83">
        <v>0</v>
      </c>
      <c r="AH493" s="83">
        <v>0</v>
      </c>
      <c r="AI493" s="264">
        <f t="shared" si="991"/>
        <v>0</v>
      </c>
      <c r="AJ493" s="83">
        <v>0</v>
      </c>
      <c r="AK493" s="83">
        <v>0</v>
      </c>
      <c r="AL493" s="83"/>
      <c r="AM493" s="264">
        <f t="shared" si="957"/>
        <v>0</v>
      </c>
      <c r="AN493" s="83">
        <v>0</v>
      </c>
      <c r="AO493" s="83">
        <v>0</v>
      </c>
      <c r="AP493" s="264">
        <f t="shared" si="992"/>
        <v>0</v>
      </c>
      <c r="AQ493" s="578">
        <f t="shared" si="958"/>
        <v>-21600000</v>
      </c>
      <c r="AR493" s="47"/>
    </row>
    <row r="494" spans="2:44" ht="36" customHeight="1">
      <c r="B494" s="210" t="s">
        <v>1036</v>
      </c>
      <c r="C494" s="571" t="s">
        <v>1070</v>
      </c>
      <c r="D494" s="217"/>
      <c r="E494" s="570" t="s">
        <v>1059</v>
      </c>
      <c r="F494" s="570"/>
      <c r="G494" s="621">
        <v>2024</v>
      </c>
      <c r="H494" s="621">
        <v>2030</v>
      </c>
      <c r="I494" s="197">
        <f>SUM(I495:I496)</f>
        <v>628430</v>
      </c>
      <c r="J494" s="197">
        <f>SUM(J495:J496)</f>
        <v>0</v>
      </c>
      <c r="K494" s="197">
        <f>I494+J494</f>
        <v>628430</v>
      </c>
      <c r="L494" s="197">
        <f>SUM(L495:L496)</f>
        <v>180000</v>
      </c>
      <c r="M494" s="197">
        <f>SUM(M495:M496)</f>
        <v>0</v>
      </c>
      <c r="N494" s="197">
        <f>L494+M494</f>
        <v>180000</v>
      </c>
      <c r="O494" s="197">
        <f>SUM(O495:O496)</f>
        <v>180000</v>
      </c>
      <c r="P494" s="197">
        <f>SUM(P495:P496)</f>
        <v>0</v>
      </c>
      <c r="Q494" s="197">
        <f>O494+P494</f>
        <v>180000</v>
      </c>
      <c r="R494" s="197">
        <f>SUM(R495:R496)</f>
        <v>180000</v>
      </c>
      <c r="S494" s="197">
        <f>SUM(S495:S496)</f>
        <v>0</v>
      </c>
      <c r="T494" s="197">
        <f>R494+S494</f>
        <v>180000</v>
      </c>
      <c r="U494" s="197">
        <f>SUM(U495:U496)</f>
        <v>180000</v>
      </c>
      <c r="V494" s="197">
        <f>SUM(V495:V496)</f>
        <v>0</v>
      </c>
      <c r="W494" s="197">
        <f>U494+V494</f>
        <v>180000</v>
      </c>
      <c r="X494" s="197">
        <f>SUM(X495:X496)</f>
        <v>180000</v>
      </c>
      <c r="Y494" s="197">
        <f>SUM(Y495:Y496)</f>
        <v>0</v>
      </c>
      <c r="Z494" s="197">
        <f>SUM(X494:Y494)</f>
        <v>180000</v>
      </c>
      <c r="AA494" s="197">
        <f>SUM(AA495:AA496)</f>
        <v>180000</v>
      </c>
      <c r="AB494" s="197">
        <f>SUM(AB495:AB496)</f>
        <v>0</v>
      </c>
      <c r="AC494" s="197">
        <f>SUM(AA494:AB494)</f>
        <v>180000</v>
      </c>
      <c r="AD494" s="197">
        <f t="shared" ref="AD494:AD496" si="993">I494+L494+O494+R494+U494+X494+AA494</f>
        <v>1708430</v>
      </c>
      <c r="AE494" s="197">
        <f t="shared" ref="AE494:AE496" si="994">J494+M494+P494+S494+V494+Y494+AB494</f>
        <v>0</v>
      </c>
      <c r="AF494" s="197">
        <f>AD494+AE494</f>
        <v>1708430</v>
      </c>
      <c r="AG494" s="197">
        <f>SUM(AG495:AG496)</f>
        <v>988430</v>
      </c>
      <c r="AH494" s="197">
        <f>SUM(AH495:AH496)</f>
        <v>0</v>
      </c>
      <c r="AI494" s="197">
        <f>AG494+AH494</f>
        <v>988430</v>
      </c>
      <c r="AJ494" s="197">
        <f>SUM(AJ495:AJ496)</f>
        <v>0</v>
      </c>
      <c r="AK494" s="197">
        <f>SUM(AK495:AK496)</f>
        <v>0</v>
      </c>
      <c r="AL494" s="197"/>
      <c r="AM494" s="197">
        <f t="shared" si="957"/>
        <v>0</v>
      </c>
      <c r="AN494" s="197">
        <f>SUM(AN495:AN496)</f>
        <v>720000</v>
      </c>
      <c r="AO494" s="197">
        <f>SUM(AO495:AO496)</f>
        <v>0</v>
      </c>
      <c r="AP494" s="197">
        <f>AN494+AO494</f>
        <v>720000</v>
      </c>
      <c r="AQ494" s="577">
        <f t="shared" si="958"/>
        <v>0</v>
      </c>
      <c r="AR494" s="47"/>
    </row>
    <row r="495" spans="2:44" ht="36" customHeight="1">
      <c r="B495" s="35" t="s">
        <v>1044</v>
      </c>
      <c r="C495" s="618" t="s">
        <v>1071</v>
      </c>
      <c r="D495" s="92"/>
      <c r="E495" s="552" t="s">
        <v>1059</v>
      </c>
      <c r="F495" s="93"/>
      <c r="G495" s="406">
        <v>2024</v>
      </c>
      <c r="H495" s="406">
        <v>2024</v>
      </c>
      <c r="I495" s="83">
        <v>628430</v>
      </c>
      <c r="J495" s="83">
        <v>0</v>
      </c>
      <c r="K495" s="264">
        <f t="shared" ref="K495:K496" si="995">SUM(I495:J495)</f>
        <v>628430</v>
      </c>
      <c r="L495" s="83">
        <v>0</v>
      </c>
      <c r="M495" s="83">
        <v>0</v>
      </c>
      <c r="N495" s="264">
        <f t="shared" ref="N495:N496" si="996">SUM(L495:M495)</f>
        <v>0</v>
      </c>
      <c r="O495" s="83">
        <v>0</v>
      </c>
      <c r="P495" s="83">
        <v>0</v>
      </c>
      <c r="Q495" s="264">
        <f t="shared" ref="Q495:Q496" si="997">SUM(O495:P495)</f>
        <v>0</v>
      </c>
      <c r="R495" s="83">
        <v>0</v>
      </c>
      <c r="S495" s="83">
        <v>0</v>
      </c>
      <c r="T495" s="264">
        <f t="shared" ref="T495:T496" si="998">SUM(R495:S495)</f>
        <v>0</v>
      </c>
      <c r="U495" s="83">
        <v>0</v>
      </c>
      <c r="V495" s="83">
        <v>0</v>
      </c>
      <c r="W495" s="264">
        <f t="shared" ref="W495:W496" si="999">SUM(U495:V495)</f>
        <v>0</v>
      </c>
      <c r="X495" s="83">
        <v>0</v>
      </c>
      <c r="Y495" s="83">
        <v>0</v>
      </c>
      <c r="Z495" s="264">
        <f t="shared" ref="Z495:Z496" si="1000">SUM(X495:Y495)</f>
        <v>0</v>
      </c>
      <c r="AA495" s="83">
        <v>0</v>
      </c>
      <c r="AB495" s="83">
        <v>0</v>
      </c>
      <c r="AC495" s="264">
        <f t="shared" ref="AC495:AC496" si="1001">SUM(AA495:AB495)</f>
        <v>0</v>
      </c>
      <c r="AD495" s="83">
        <f t="shared" si="993"/>
        <v>628430</v>
      </c>
      <c r="AE495" s="83">
        <f t="shared" si="994"/>
        <v>0</v>
      </c>
      <c r="AF495" s="264">
        <f t="shared" ref="AF495:AF496" si="1002">AD495+AE495</f>
        <v>628430</v>
      </c>
      <c r="AG495" s="83">
        <v>628430</v>
      </c>
      <c r="AH495" s="83">
        <v>0</v>
      </c>
      <c r="AI495" s="264">
        <f t="shared" ref="AI495:AI496" si="1003">SUM(AG495:AH495)</f>
        <v>628430</v>
      </c>
      <c r="AJ495" s="83">
        <v>0</v>
      </c>
      <c r="AK495" s="83">
        <v>0</v>
      </c>
      <c r="AL495" s="83"/>
      <c r="AM495" s="264">
        <f t="shared" si="957"/>
        <v>0</v>
      </c>
      <c r="AN495" s="83">
        <v>0</v>
      </c>
      <c r="AO495" s="83">
        <v>0</v>
      </c>
      <c r="AP495" s="264">
        <f t="shared" ref="AP495:AP496" si="1004">SUM(AN495:AO495)</f>
        <v>0</v>
      </c>
      <c r="AQ495" s="578">
        <f t="shared" si="958"/>
        <v>0</v>
      </c>
      <c r="AR495" s="47"/>
    </row>
    <row r="496" spans="2:44" ht="36" customHeight="1">
      <c r="B496" s="35" t="s">
        <v>1045</v>
      </c>
      <c r="C496" s="618" t="s">
        <v>1072</v>
      </c>
      <c r="D496" s="92"/>
      <c r="E496" s="552" t="s">
        <v>1059</v>
      </c>
      <c r="F496" s="93"/>
      <c r="G496" s="406">
        <v>2025</v>
      </c>
      <c r="H496" s="406">
        <v>2030</v>
      </c>
      <c r="I496" s="83">
        <v>0</v>
      </c>
      <c r="J496" s="83">
        <v>0</v>
      </c>
      <c r="K496" s="264">
        <f t="shared" si="995"/>
        <v>0</v>
      </c>
      <c r="L496" s="83">
        <f>10*2*9000</f>
        <v>180000</v>
      </c>
      <c r="M496" s="83">
        <v>0</v>
      </c>
      <c r="N496" s="264">
        <f t="shared" si="996"/>
        <v>180000</v>
      </c>
      <c r="O496" s="83">
        <v>180000</v>
      </c>
      <c r="P496" s="83">
        <v>0</v>
      </c>
      <c r="Q496" s="264">
        <f t="shared" si="997"/>
        <v>180000</v>
      </c>
      <c r="R496" s="83">
        <v>180000</v>
      </c>
      <c r="S496" s="83">
        <v>0</v>
      </c>
      <c r="T496" s="264">
        <f t="shared" si="998"/>
        <v>180000</v>
      </c>
      <c r="U496" s="83">
        <v>180000</v>
      </c>
      <c r="V496" s="83">
        <v>0</v>
      </c>
      <c r="W496" s="264">
        <f t="shared" si="999"/>
        <v>180000</v>
      </c>
      <c r="X496" s="83">
        <v>180000</v>
      </c>
      <c r="Y496" s="83">
        <v>0</v>
      </c>
      <c r="Z496" s="264">
        <f t="shared" si="1000"/>
        <v>180000</v>
      </c>
      <c r="AA496" s="83">
        <v>180000</v>
      </c>
      <c r="AB496" s="83">
        <v>0</v>
      </c>
      <c r="AC496" s="264">
        <f t="shared" si="1001"/>
        <v>180000</v>
      </c>
      <c r="AD496" s="83">
        <f t="shared" si="993"/>
        <v>1080000</v>
      </c>
      <c r="AE496" s="83">
        <f t="shared" si="994"/>
        <v>0</v>
      </c>
      <c r="AF496" s="264">
        <f t="shared" si="1002"/>
        <v>1080000</v>
      </c>
      <c r="AG496" s="83">
        <f>180000*2</f>
        <v>360000</v>
      </c>
      <c r="AH496" s="83">
        <v>0</v>
      </c>
      <c r="AI496" s="264">
        <f t="shared" si="1003"/>
        <v>360000</v>
      </c>
      <c r="AJ496" s="83">
        <v>0</v>
      </c>
      <c r="AK496" s="83">
        <v>0</v>
      </c>
      <c r="AL496" s="83"/>
      <c r="AM496" s="264">
        <f t="shared" si="957"/>
        <v>0</v>
      </c>
      <c r="AN496" s="83">
        <f>180000*4</f>
        <v>720000</v>
      </c>
      <c r="AO496" s="83">
        <v>0</v>
      </c>
      <c r="AP496" s="264">
        <f t="shared" si="1004"/>
        <v>720000</v>
      </c>
      <c r="AQ496" s="578">
        <f t="shared" si="958"/>
        <v>0</v>
      </c>
      <c r="AR496" s="47"/>
    </row>
    <row r="497" spans="2:44" ht="36" customHeight="1" thickBot="1">
      <c r="B497" s="210" t="s">
        <v>1037</v>
      </c>
      <c r="C497" s="571" t="s">
        <v>1073</v>
      </c>
      <c r="D497" s="217"/>
      <c r="E497" s="570" t="s">
        <v>1059</v>
      </c>
      <c r="F497" s="570"/>
      <c r="G497" s="621">
        <v>2024</v>
      </c>
      <c r="H497" s="621">
        <v>2030</v>
      </c>
      <c r="I497" s="197">
        <f>SUM(I498:I500)</f>
        <v>543355</v>
      </c>
      <c r="J497" s="197">
        <f>SUM(J498:J500)</f>
        <v>0</v>
      </c>
      <c r="K497" s="197">
        <f>I497+J497</f>
        <v>543355</v>
      </c>
      <c r="L497" s="197">
        <f>SUM(L498:L500)</f>
        <v>1810065</v>
      </c>
      <c r="M497" s="197">
        <f>SUM(M498:M500)</f>
        <v>0</v>
      </c>
      <c r="N497" s="197">
        <f>L497+M497</f>
        <v>1810065</v>
      </c>
      <c r="O497" s="197">
        <f>SUM(O498:O500)</f>
        <v>1266710</v>
      </c>
      <c r="P497" s="197">
        <f>SUM(P498:P500)</f>
        <v>0</v>
      </c>
      <c r="Q497" s="197">
        <f>O497+P497</f>
        <v>1266710</v>
      </c>
      <c r="R497" s="197">
        <f>SUM(R498:R500)</f>
        <v>1266710</v>
      </c>
      <c r="S497" s="197">
        <f>SUM(S498:S500)</f>
        <v>0</v>
      </c>
      <c r="T497" s="197">
        <f>R497+S497</f>
        <v>1266710</v>
      </c>
      <c r="U497" s="197">
        <f>SUM(U498:U500)</f>
        <v>1086710</v>
      </c>
      <c r="V497" s="197">
        <f>SUM(V498:V500)</f>
        <v>0</v>
      </c>
      <c r="W497" s="197">
        <f>U497+V497</f>
        <v>1086710</v>
      </c>
      <c r="X497" s="197">
        <f>SUM(X498:X500)</f>
        <v>1086710</v>
      </c>
      <c r="Y497" s="197">
        <f>SUM(Y498:Y500)</f>
        <v>0</v>
      </c>
      <c r="Z497" s="197">
        <f>SUM(Z498:Z500)</f>
        <v>1086710</v>
      </c>
      <c r="AA497" s="197">
        <f>SUM(AA498:AA500)</f>
        <v>1086710</v>
      </c>
      <c r="AB497" s="197">
        <f>SUM(AB498:AB500)</f>
        <v>0</v>
      </c>
      <c r="AC497" s="197">
        <f>SUM(AA497:AB497)</f>
        <v>1086710</v>
      </c>
      <c r="AD497" s="197">
        <f t="shared" ref="AD497:AD500" si="1005">I497+L497+O497+R497+U497+X497+AA497</f>
        <v>8146970</v>
      </c>
      <c r="AE497" s="197">
        <f t="shared" ref="AE497:AE500" si="1006">J497+M497+P497+S497+V497+Y497+AB497</f>
        <v>0</v>
      </c>
      <c r="AF497" s="197">
        <f>AD497+AE497</f>
        <v>8146970</v>
      </c>
      <c r="AG497" s="197">
        <f>SUM(AG498:AG500)</f>
        <v>3620130</v>
      </c>
      <c r="AH497" s="197">
        <f>SUM(AH498:AH500)</f>
        <v>0</v>
      </c>
      <c r="AI497" s="197">
        <f>AG497+AH497</f>
        <v>3620130</v>
      </c>
      <c r="AJ497" s="197">
        <f>SUM(AJ498:AJ500)</f>
        <v>0</v>
      </c>
      <c r="AK497" s="197">
        <f>SUM(AK498:AK500)</f>
        <v>0</v>
      </c>
      <c r="AL497" s="197"/>
      <c r="AM497" s="197">
        <f t="shared" ref="AM497:AM511" si="1007">AJ497+AK497</f>
        <v>0</v>
      </c>
      <c r="AN497" s="197">
        <f>SUM(AN498:AN500)</f>
        <v>4526840</v>
      </c>
      <c r="AO497" s="197">
        <f>SUM(AO498:AO500)</f>
        <v>0</v>
      </c>
      <c r="AP497" s="197">
        <f>AN497+AO497</f>
        <v>4526840</v>
      </c>
      <c r="AQ497" s="577">
        <f t="shared" ref="AQ497:AQ511" si="1008">SUM(AP497+AM497+AI497)-AF497</f>
        <v>0</v>
      </c>
      <c r="AR497" s="47"/>
    </row>
    <row r="498" spans="2:44" ht="36" customHeight="1">
      <c r="B498" s="35" t="s">
        <v>1046</v>
      </c>
      <c r="C498" s="622" t="s">
        <v>1074</v>
      </c>
      <c r="D498" s="92"/>
      <c r="E498" s="568" t="s">
        <v>1059</v>
      </c>
      <c r="F498" s="93"/>
      <c r="G498" s="625">
        <v>2024</v>
      </c>
      <c r="H498" s="625">
        <v>2025</v>
      </c>
      <c r="I498" s="83">
        <v>543355</v>
      </c>
      <c r="J498" s="83">
        <v>0</v>
      </c>
      <c r="K498" s="264">
        <f t="shared" ref="K498:K500" si="1009">SUM(I498:J498)</f>
        <v>543355</v>
      </c>
      <c r="L498" s="83">
        <v>543355</v>
      </c>
      <c r="M498" s="83">
        <v>0</v>
      </c>
      <c r="N498" s="264">
        <f t="shared" ref="N498:N500" si="1010">SUM(L498:M498)</f>
        <v>543355</v>
      </c>
      <c r="O498" s="83">
        <v>0</v>
      </c>
      <c r="P498" s="83">
        <v>0</v>
      </c>
      <c r="Q498" s="264">
        <f t="shared" ref="Q498:Q500" si="1011">SUM(O498:P498)</f>
        <v>0</v>
      </c>
      <c r="R498" s="83">
        <v>0</v>
      </c>
      <c r="S498" s="83">
        <v>0</v>
      </c>
      <c r="T498" s="264">
        <f t="shared" ref="T498:T500" si="1012">SUM(R498:S498)</f>
        <v>0</v>
      </c>
      <c r="U498" s="83">
        <v>0</v>
      </c>
      <c r="V498" s="83">
        <v>0</v>
      </c>
      <c r="W498" s="264">
        <f t="shared" ref="W498:W500" si="1013">SUM(U498:V498)</f>
        <v>0</v>
      </c>
      <c r="X498" s="83">
        <v>0</v>
      </c>
      <c r="Y498" s="83">
        <v>0</v>
      </c>
      <c r="Z498" s="264">
        <f t="shared" ref="Z498:Z500" si="1014">SUM(X498:Y498)</f>
        <v>0</v>
      </c>
      <c r="AA498" s="83">
        <v>0</v>
      </c>
      <c r="AB498" s="83">
        <v>0</v>
      </c>
      <c r="AC498" s="264">
        <f t="shared" ref="AC498:AC500" si="1015">SUM(AA498:AB498)</f>
        <v>0</v>
      </c>
      <c r="AD498" s="83">
        <f t="shared" si="1005"/>
        <v>1086710</v>
      </c>
      <c r="AE498" s="83">
        <f t="shared" si="1006"/>
        <v>0</v>
      </c>
      <c r="AF498" s="264">
        <f t="shared" ref="AF498:AF500" si="1016">AD498+AE498</f>
        <v>1086710</v>
      </c>
      <c r="AG498" s="83">
        <f>543355*2</f>
        <v>1086710</v>
      </c>
      <c r="AH498" s="83">
        <v>0</v>
      </c>
      <c r="AI498" s="264">
        <f t="shared" ref="AI498:AI500" si="1017">SUM(AG498:AH498)</f>
        <v>1086710</v>
      </c>
      <c r="AJ498" s="83">
        <v>0</v>
      </c>
      <c r="AK498" s="83">
        <v>0</v>
      </c>
      <c r="AL498" s="83"/>
      <c r="AM498" s="264">
        <f t="shared" si="1007"/>
        <v>0</v>
      </c>
      <c r="AN498" s="83">
        <v>0</v>
      </c>
      <c r="AO498" s="83">
        <v>0</v>
      </c>
      <c r="AP498" s="264">
        <f t="shared" ref="AP498:AP500" si="1018">SUM(AN498:AO498)</f>
        <v>0</v>
      </c>
      <c r="AQ498" s="578">
        <f t="shared" si="1008"/>
        <v>0</v>
      </c>
      <c r="AR498" s="47"/>
    </row>
    <row r="499" spans="2:44" ht="36" customHeight="1">
      <c r="B499" s="35" t="s">
        <v>1047</v>
      </c>
      <c r="C499" s="623" t="s">
        <v>1075</v>
      </c>
      <c r="D499" s="92"/>
      <c r="E499" s="552" t="s">
        <v>1059</v>
      </c>
      <c r="F499" s="93"/>
      <c r="G499" s="626">
        <v>2025</v>
      </c>
      <c r="H499" s="626">
        <v>2027</v>
      </c>
      <c r="I499" s="83">
        <v>0</v>
      </c>
      <c r="J499" s="83">
        <v>0</v>
      </c>
      <c r="K499" s="264">
        <f t="shared" si="1009"/>
        <v>0</v>
      </c>
      <c r="L499" s="83">
        <v>180000</v>
      </c>
      <c r="M499" s="83">
        <v>0</v>
      </c>
      <c r="N499" s="264">
        <f t="shared" si="1010"/>
        <v>180000</v>
      </c>
      <c r="O499" s="83">
        <v>180000</v>
      </c>
      <c r="P499" s="83">
        <v>0</v>
      </c>
      <c r="Q499" s="264">
        <f t="shared" si="1011"/>
        <v>180000</v>
      </c>
      <c r="R499" s="83">
        <v>180000</v>
      </c>
      <c r="S499" s="83">
        <v>0</v>
      </c>
      <c r="T499" s="264">
        <f t="shared" si="1012"/>
        <v>180000</v>
      </c>
      <c r="U499" s="83">
        <v>0</v>
      </c>
      <c r="V499" s="83">
        <v>0</v>
      </c>
      <c r="W499" s="264">
        <f t="shared" si="1013"/>
        <v>0</v>
      </c>
      <c r="X499" s="83">
        <v>0</v>
      </c>
      <c r="Y499" s="83">
        <v>0</v>
      </c>
      <c r="Z499" s="264">
        <f t="shared" si="1014"/>
        <v>0</v>
      </c>
      <c r="AA499" s="83">
        <v>0</v>
      </c>
      <c r="AB499" s="83">
        <v>0</v>
      </c>
      <c r="AC499" s="264">
        <f t="shared" si="1015"/>
        <v>0</v>
      </c>
      <c r="AD499" s="83">
        <f t="shared" si="1005"/>
        <v>540000</v>
      </c>
      <c r="AE499" s="83">
        <f t="shared" si="1006"/>
        <v>0</v>
      </c>
      <c r="AF499" s="264">
        <f t="shared" si="1016"/>
        <v>540000</v>
      </c>
      <c r="AG499" s="83">
        <f>180000*2</f>
        <v>360000</v>
      </c>
      <c r="AH499" s="83">
        <v>0</v>
      </c>
      <c r="AI499" s="264">
        <f t="shared" si="1017"/>
        <v>360000</v>
      </c>
      <c r="AJ499" s="83">
        <v>0</v>
      </c>
      <c r="AK499" s="83">
        <v>0</v>
      </c>
      <c r="AL499" s="83"/>
      <c r="AM499" s="264">
        <f t="shared" si="1007"/>
        <v>0</v>
      </c>
      <c r="AN499" s="83">
        <f>180000*1</f>
        <v>180000</v>
      </c>
      <c r="AO499" s="83"/>
      <c r="AP499" s="264">
        <f t="shared" si="1018"/>
        <v>180000</v>
      </c>
      <c r="AQ499" s="578">
        <f t="shared" si="1008"/>
        <v>0</v>
      </c>
      <c r="AR499" s="47"/>
    </row>
    <row r="500" spans="2:44" ht="36" customHeight="1">
      <c r="B500" s="35" t="s">
        <v>1048</v>
      </c>
      <c r="C500" s="624" t="s">
        <v>1076</v>
      </c>
      <c r="D500" s="92"/>
      <c r="E500" s="563" t="s">
        <v>1059</v>
      </c>
      <c r="F500" s="93"/>
      <c r="G500" s="627">
        <v>2025</v>
      </c>
      <c r="H500" s="627">
        <v>2030</v>
      </c>
      <c r="I500" s="83">
        <v>0</v>
      </c>
      <c r="J500" s="83">
        <v>0</v>
      </c>
      <c r="K500" s="264">
        <f t="shared" si="1009"/>
        <v>0</v>
      </c>
      <c r="L500" s="83">
        <v>1086710</v>
      </c>
      <c r="M500" s="83">
        <v>0</v>
      </c>
      <c r="N500" s="264">
        <f t="shared" si="1010"/>
        <v>1086710</v>
      </c>
      <c r="O500" s="83">
        <v>1086710</v>
      </c>
      <c r="P500" s="83">
        <v>0</v>
      </c>
      <c r="Q500" s="264">
        <f t="shared" si="1011"/>
        <v>1086710</v>
      </c>
      <c r="R500" s="83">
        <v>1086710</v>
      </c>
      <c r="S500" s="83">
        <v>0</v>
      </c>
      <c r="T500" s="264">
        <f t="shared" si="1012"/>
        <v>1086710</v>
      </c>
      <c r="U500" s="83">
        <v>1086710</v>
      </c>
      <c r="V500" s="83">
        <v>0</v>
      </c>
      <c r="W500" s="264">
        <f t="shared" si="1013"/>
        <v>1086710</v>
      </c>
      <c r="X500" s="83">
        <v>1086710</v>
      </c>
      <c r="Y500" s="83">
        <v>0</v>
      </c>
      <c r="Z500" s="264">
        <f t="shared" si="1014"/>
        <v>1086710</v>
      </c>
      <c r="AA500" s="83">
        <v>1086710</v>
      </c>
      <c r="AB500" s="83">
        <v>0</v>
      </c>
      <c r="AC500" s="264">
        <f t="shared" si="1015"/>
        <v>1086710</v>
      </c>
      <c r="AD500" s="83">
        <f t="shared" si="1005"/>
        <v>6520260</v>
      </c>
      <c r="AE500" s="83">
        <f t="shared" si="1006"/>
        <v>0</v>
      </c>
      <c r="AF500" s="264">
        <f t="shared" si="1016"/>
        <v>6520260</v>
      </c>
      <c r="AG500" s="83">
        <f>1086710*2</f>
        <v>2173420</v>
      </c>
      <c r="AH500" s="83">
        <v>0</v>
      </c>
      <c r="AI500" s="264">
        <f t="shared" si="1017"/>
        <v>2173420</v>
      </c>
      <c r="AJ500" s="83">
        <v>0</v>
      </c>
      <c r="AK500" s="83">
        <v>0</v>
      </c>
      <c r="AL500" s="83"/>
      <c r="AM500" s="264">
        <f t="shared" si="1007"/>
        <v>0</v>
      </c>
      <c r="AN500" s="83">
        <f>1086710*4</f>
        <v>4346840</v>
      </c>
      <c r="AO500" s="83"/>
      <c r="AP500" s="264">
        <f t="shared" si="1018"/>
        <v>4346840</v>
      </c>
      <c r="AQ500" s="578">
        <f t="shared" si="1008"/>
        <v>0</v>
      </c>
      <c r="AR500" s="47"/>
    </row>
    <row r="501" spans="2:44" ht="36" customHeight="1" thickBot="1">
      <c r="B501" s="210" t="s">
        <v>1049</v>
      </c>
      <c r="C501" s="571" t="s">
        <v>1077</v>
      </c>
      <c r="D501" s="217"/>
      <c r="E501" s="570" t="s">
        <v>1059</v>
      </c>
      <c r="F501" s="570"/>
      <c r="G501" s="621">
        <v>2024</v>
      </c>
      <c r="H501" s="621">
        <v>2026</v>
      </c>
      <c r="I501" s="197">
        <f>SUM(I502:I503)</f>
        <v>0</v>
      </c>
      <c r="J501" s="197">
        <f>SUM(J502:J503)</f>
        <v>115875000</v>
      </c>
      <c r="K501" s="197">
        <f>I501+J501</f>
        <v>115875000</v>
      </c>
      <c r="L501" s="197">
        <f>SUM(L502:L503)</f>
        <v>0</v>
      </c>
      <c r="M501" s="197">
        <f>SUM(M502:M503)</f>
        <v>161900000</v>
      </c>
      <c r="N501" s="197">
        <f>L501+M501</f>
        <v>161900000</v>
      </c>
      <c r="O501" s="197">
        <f>SUM(O502:O503)</f>
        <v>0</v>
      </c>
      <c r="P501" s="197">
        <f>SUM(P502:P503)</f>
        <v>173900000</v>
      </c>
      <c r="Q501" s="197">
        <f>O501+P501</f>
        <v>173900000</v>
      </c>
      <c r="R501" s="197">
        <f>SUM(R502:R503)</f>
        <v>0</v>
      </c>
      <c r="S501" s="197">
        <f>SUM(S502:S503)</f>
        <v>0</v>
      </c>
      <c r="T501" s="197">
        <f>R501+S501</f>
        <v>0</v>
      </c>
      <c r="U501" s="197">
        <f>SUM(U502:U503)</f>
        <v>0</v>
      </c>
      <c r="V501" s="197">
        <f>SUM(V502:V503)</f>
        <v>0</v>
      </c>
      <c r="W501" s="197">
        <f>U501+V501</f>
        <v>0</v>
      </c>
      <c r="X501" s="197">
        <f>SUM(X502:X503)</f>
        <v>0</v>
      </c>
      <c r="Y501" s="197">
        <f>SUM(Y502:Y503)</f>
        <v>0</v>
      </c>
      <c r="Z501" s="197">
        <f>SUM(X501:Y501)</f>
        <v>0</v>
      </c>
      <c r="AA501" s="197">
        <f>SUM(AA502:AA503)</f>
        <v>0</v>
      </c>
      <c r="AB501" s="197">
        <f>SUM(AB502:AB503)</f>
        <v>0</v>
      </c>
      <c r="AC501" s="197">
        <f>SUM(AA501:AB501)</f>
        <v>0</v>
      </c>
      <c r="AD501" s="197">
        <f t="shared" ref="AD501:AD503" si="1019">I501+L501+O501+R501+U501+X501+AA501</f>
        <v>0</v>
      </c>
      <c r="AE501" s="197">
        <f t="shared" ref="AE501:AE503" si="1020">J501+M501+P501+S501+V501+Y501+AB501</f>
        <v>451675000</v>
      </c>
      <c r="AF501" s="197">
        <f>AD501+AE501</f>
        <v>451675000</v>
      </c>
      <c r="AG501" s="197">
        <f>SUM(AG502:AG503)</f>
        <v>0</v>
      </c>
      <c r="AH501" s="197">
        <f>SUM(AH502:AH503)</f>
        <v>451675000</v>
      </c>
      <c r="AI501" s="197">
        <f>AG501+AH501</f>
        <v>451675000</v>
      </c>
      <c r="AJ501" s="197">
        <f>SUM(AJ502:AJ503)</f>
        <v>0</v>
      </c>
      <c r="AK501" s="197">
        <f>SUM(AK502:AK503)</f>
        <v>0</v>
      </c>
      <c r="AL501" s="197"/>
      <c r="AM501" s="197">
        <f t="shared" si="1007"/>
        <v>0</v>
      </c>
      <c r="AN501" s="197">
        <f>SUM(AN502:AN503)</f>
        <v>0</v>
      </c>
      <c r="AO501" s="197">
        <f>SUM(AO502:AO503)</f>
        <v>0</v>
      </c>
      <c r="AP501" s="197">
        <f>AN501+AO501</f>
        <v>0</v>
      </c>
      <c r="AQ501" s="577">
        <f t="shared" si="1008"/>
        <v>0</v>
      </c>
      <c r="AR501" s="47"/>
    </row>
    <row r="502" spans="2:44" ht="36" customHeight="1">
      <c r="B502" s="35" t="s">
        <v>1050</v>
      </c>
      <c r="C502" s="628" t="s">
        <v>1078</v>
      </c>
      <c r="D502" s="92"/>
      <c r="E502" s="568" t="s">
        <v>1059</v>
      </c>
      <c r="F502" s="93"/>
      <c r="G502" s="406">
        <v>2024</v>
      </c>
      <c r="H502" s="406">
        <v>2024</v>
      </c>
      <c r="I502" s="83">
        <v>0</v>
      </c>
      <c r="J502" s="83">
        <v>95875000</v>
      </c>
      <c r="K502" s="264">
        <f t="shared" ref="K502:K503" si="1021">SUM(I502:J502)</f>
        <v>95875000</v>
      </c>
      <c r="L502" s="83">
        <v>0</v>
      </c>
      <c r="M502" s="83">
        <v>0</v>
      </c>
      <c r="N502" s="264">
        <f t="shared" ref="N502:N503" si="1022">SUM(L502:M502)</f>
        <v>0</v>
      </c>
      <c r="O502" s="83">
        <v>0</v>
      </c>
      <c r="P502" s="83">
        <v>0</v>
      </c>
      <c r="Q502" s="264">
        <f t="shared" ref="Q502:Q503" si="1023">SUM(O502:P502)</f>
        <v>0</v>
      </c>
      <c r="R502" s="83">
        <v>0</v>
      </c>
      <c r="S502" s="83">
        <v>0</v>
      </c>
      <c r="T502" s="264">
        <f t="shared" ref="T502:T503" si="1024">SUM(R502:S502)</f>
        <v>0</v>
      </c>
      <c r="U502" s="83">
        <v>0</v>
      </c>
      <c r="V502" s="83">
        <v>0</v>
      </c>
      <c r="W502" s="264">
        <f t="shared" ref="W502:W503" si="1025">SUM(U502:V502)</f>
        <v>0</v>
      </c>
      <c r="X502" s="83">
        <v>0</v>
      </c>
      <c r="Y502" s="83">
        <v>0</v>
      </c>
      <c r="Z502" s="264">
        <f t="shared" ref="Z502:Z503" si="1026">SUM(X502:Y502)</f>
        <v>0</v>
      </c>
      <c r="AA502" s="83">
        <v>0</v>
      </c>
      <c r="AB502" s="83">
        <v>0</v>
      </c>
      <c r="AC502" s="264">
        <f t="shared" ref="AC502:AC503" si="1027">SUM(AA502:AB502)</f>
        <v>0</v>
      </c>
      <c r="AD502" s="83">
        <f t="shared" si="1019"/>
        <v>0</v>
      </c>
      <c r="AE502" s="83">
        <f t="shared" si="1020"/>
        <v>95875000</v>
      </c>
      <c r="AF502" s="264">
        <f t="shared" ref="AF502:AF503" si="1028">AD502+AE502</f>
        <v>95875000</v>
      </c>
      <c r="AG502" s="83">
        <v>0</v>
      </c>
      <c r="AH502" s="83">
        <v>95875000</v>
      </c>
      <c r="AI502" s="264">
        <f t="shared" ref="AI502:AI503" si="1029">SUM(AG502:AH502)</f>
        <v>95875000</v>
      </c>
      <c r="AJ502" s="83">
        <v>0</v>
      </c>
      <c r="AK502" s="83">
        <v>0</v>
      </c>
      <c r="AL502" s="83"/>
      <c r="AM502" s="264">
        <f t="shared" si="1007"/>
        <v>0</v>
      </c>
      <c r="AN502" s="83">
        <v>0</v>
      </c>
      <c r="AO502" s="83">
        <v>0</v>
      </c>
      <c r="AP502" s="264">
        <f t="shared" ref="AP502:AP503" si="1030">SUM(AN502:AO502)</f>
        <v>0</v>
      </c>
      <c r="AQ502" s="578">
        <f t="shared" si="1008"/>
        <v>0</v>
      </c>
      <c r="AR502" s="47"/>
    </row>
    <row r="503" spans="2:44" ht="36" customHeight="1" thickBot="1">
      <c r="B503" s="35" t="s">
        <v>1051</v>
      </c>
      <c r="C503" s="629" t="s">
        <v>1079</v>
      </c>
      <c r="D503" s="92"/>
      <c r="E503" s="630" t="s">
        <v>1059</v>
      </c>
      <c r="F503" s="93"/>
      <c r="G503" s="406">
        <v>2024</v>
      </c>
      <c r="H503" s="406">
        <v>2026</v>
      </c>
      <c r="I503" s="83">
        <v>0</v>
      </c>
      <c r="J503" s="83">
        <v>20000000</v>
      </c>
      <c r="K503" s="264">
        <f t="shared" si="1021"/>
        <v>20000000</v>
      </c>
      <c r="L503" s="83">
        <v>0</v>
      </c>
      <c r="M503" s="83">
        <v>161900000</v>
      </c>
      <c r="N503" s="264">
        <f t="shared" si="1022"/>
        <v>161900000</v>
      </c>
      <c r="O503" s="83">
        <v>0</v>
      </c>
      <c r="P503" s="83">
        <v>173900000</v>
      </c>
      <c r="Q503" s="264">
        <f t="shared" si="1023"/>
        <v>173900000</v>
      </c>
      <c r="R503" s="83">
        <v>0</v>
      </c>
      <c r="S503" s="83">
        <v>0</v>
      </c>
      <c r="T503" s="264">
        <f t="shared" si="1024"/>
        <v>0</v>
      </c>
      <c r="U503" s="83">
        <v>0</v>
      </c>
      <c r="V503" s="83">
        <v>0</v>
      </c>
      <c r="W503" s="264">
        <f t="shared" si="1025"/>
        <v>0</v>
      </c>
      <c r="X503" s="83">
        <v>0</v>
      </c>
      <c r="Y503" s="83">
        <v>0</v>
      </c>
      <c r="Z503" s="264">
        <f t="shared" si="1026"/>
        <v>0</v>
      </c>
      <c r="AA503" s="83">
        <v>0</v>
      </c>
      <c r="AB503" s="83">
        <v>0</v>
      </c>
      <c r="AC503" s="264">
        <f t="shared" si="1027"/>
        <v>0</v>
      </c>
      <c r="AD503" s="83">
        <f t="shared" si="1019"/>
        <v>0</v>
      </c>
      <c r="AE503" s="83">
        <f t="shared" si="1020"/>
        <v>355800000</v>
      </c>
      <c r="AF503" s="264">
        <f t="shared" si="1028"/>
        <v>355800000</v>
      </c>
      <c r="AG503" s="83">
        <v>0</v>
      </c>
      <c r="AH503" s="83">
        <v>355800000</v>
      </c>
      <c r="AI503" s="264">
        <f t="shared" si="1029"/>
        <v>355800000</v>
      </c>
      <c r="AJ503" s="83">
        <v>0</v>
      </c>
      <c r="AK503" s="83">
        <v>0</v>
      </c>
      <c r="AL503" s="83"/>
      <c r="AM503" s="264">
        <f t="shared" si="1007"/>
        <v>0</v>
      </c>
      <c r="AN503" s="83">
        <v>0</v>
      </c>
      <c r="AO503" s="83">
        <v>0</v>
      </c>
      <c r="AP503" s="264">
        <f t="shared" si="1030"/>
        <v>0</v>
      </c>
      <c r="AQ503" s="578">
        <f t="shared" si="1008"/>
        <v>0</v>
      </c>
      <c r="AR503" s="47"/>
    </row>
    <row r="504" spans="2:44" ht="36" customHeight="1">
      <c r="B504" s="210" t="s">
        <v>1052</v>
      </c>
      <c r="C504" s="571" t="s">
        <v>1082</v>
      </c>
      <c r="D504" s="217"/>
      <c r="E504" s="570" t="s">
        <v>1085</v>
      </c>
      <c r="F504" s="570"/>
      <c r="G504" s="621">
        <v>2024</v>
      </c>
      <c r="H504" s="621">
        <v>2030</v>
      </c>
      <c r="I504" s="197">
        <f>SUM(I505:I506)</f>
        <v>808170</v>
      </c>
      <c r="J504" s="197">
        <f>SUM(J505:J506)</f>
        <v>0</v>
      </c>
      <c r="K504" s="197">
        <f>I504+J504</f>
        <v>808170</v>
      </c>
      <c r="L504" s="197">
        <f>SUM(L505:L506)</f>
        <v>808170</v>
      </c>
      <c r="M504" s="197">
        <f>SUM(M505:M506)</f>
        <v>0</v>
      </c>
      <c r="N504" s="197">
        <f>L504+M504</f>
        <v>808170</v>
      </c>
      <c r="O504" s="197">
        <f>SUM(O505:O506)</f>
        <v>808170</v>
      </c>
      <c r="P504" s="197">
        <f>SUM(P505:P506)</f>
        <v>0</v>
      </c>
      <c r="Q504" s="197">
        <f>O504+P504</f>
        <v>808170</v>
      </c>
      <c r="R504" s="197">
        <f>SUM(R505:R506)</f>
        <v>808170</v>
      </c>
      <c r="S504" s="197">
        <f>SUM(S505:S506)</f>
        <v>0</v>
      </c>
      <c r="T504" s="197">
        <f>R504+S504</f>
        <v>808170</v>
      </c>
      <c r="U504" s="197">
        <f>SUM(U505:U506)</f>
        <v>808170</v>
      </c>
      <c r="V504" s="197">
        <f>SUM(V505:V506)</f>
        <v>0</v>
      </c>
      <c r="W504" s="197">
        <f>U504+V504</f>
        <v>808170</v>
      </c>
      <c r="X504" s="197">
        <f>SUM(X505:X506)</f>
        <v>0</v>
      </c>
      <c r="Y504" s="197">
        <f>SUM(Y505:Y506)</f>
        <v>0</v>
      </c>
      <c r="Z504" s="197">
        <f>SUM(X504:Y504)</f>
        <v>0</v>
      </c>
      <c r="AA504" s="197">
        <f>SUM(AA505:AA506)</f>
        <v>0</v>
      </c>
      <c r="AB504" s="197">
        <f>SUM(AB505:AB506)</f>
        <v>0</v>
      </c>
      <c r="AC504" s="197">
        <f>SUM(AA504:AB504)</f>
        <v>0</v>
      </c>
      <c r="AD504" s="197">
        <f t="shared" ref="AD504:AD506" si="1031">I504+L504+O504+R504+U504+X504+AA504</f>
        <v>4040850</v>
      </c>
      <c r="AE504" s="197">
        <f t="shared" ref="AE504:AE506" si="1032">J504+M504+P504+S504+V504+Y504+AB504</f>
        <v>0</v>
      </c>
      <c r="AF504" s="197">
        <f>AD504+AE504</f>
        <v>4040850</v>
      </c>
      <c r="AG504" s="197">
        <f>SUM(AG505:AG506)</f>
        <v>2424510</v>
      </c>
      <c r="AH504" s="197">
        <f>SUM(AH505:AH506)</f>
        <v>0</v>
      </c>
      <c r="AI504" s="197">
        <f>AG504+AH504</f>
        <v>2424510</v>
      </c>
      <c r="AJ504" s="197">
        <f>SUM(AJ505:AJ506)</f>
        <v>0</v>
      </c>
      <c r="AK504" s="197">
        <f>SUM(AK505:AK506)</f>
        <v>0</v>
      </c>
      <c r="AL504" s="197"/>
      <c r="AM504" s="197">
        <f t="shared" si="1007"/>
        <v>0</v>
      </c>
      <c r="AN504" s="197">
        <f>SUM(AN505:AN506)</f>
        <v>1616340</v>
      </c>
      <c r="AO504" s="197">
        <f>SUM(AO505:AO506)</f>
        <v>0</v>
      </c>
      <c r="AP504" s="197">
        <f>AN504+AO504</f>
        <v>1616340</v>
      </c>
      <c r="AQ504" s="577">
        <f t="shared" si="1008"/>
        <v>0</v>
      </c>
      <c r="AR504" s="47"/>
    </row>
    <row r="505" spans="2:44" ht="36" customHeight="1">
      <c r="B505" s="35" t="s">
        <v>1053</v>
      </c>
      <c r="C505" s="617" t="s">
        <v>1083</v>
      </c>
      <c r="D505" s="92"/>
      <c r="E505" s="638" t="s">
        <v>1085</v>
      </c>
      <c r="F505" s="93"/>
      <c r="G505" s="406">
        <v>2024</v>
      </c>
      <c r="H505" s="406">
        <v>2028</v>
      </c>
      <c r="I505" s="83">
        <v>808170</v>
      </c>
      <c r="J505" s="83">
        <v>0</v>
      </c>
      <c r="K505" s="264">
        <f t="shared" ref="K505:K506" si="1033">SUM(I505:J505)</f>
        <v>808170</v>
      </c>
      <c r="L505" s="83">
        <v>808170</v>
      </c>
      <c r="M505" s="83">
        <v>0</v>
      </c>
      <c r="N505" s="264">
        <f t="shared" ref="N505:N506" si="1034">SUM(L505:M505)</f>
        <v>808170</v>
      </c>
      <c r="O505" s="83">
        <v>808170</v>
      </c>
      <c r="P505" s="83">
        <v>0</v>
      </c>
      <c r="Q505" s="264">
        <f t="shared" ref="Q505:Q506" si="1035">SUM(O505:P505)</f>
        <v>808170</v>
      </c>
      <c r="R505" s="83">
        <v>808170</v>
      </c>
      <c r="S505" s="83">
        <v>0</v>
      </c>
      <c r="T505" s="264">
        <f t="shared" ref="T505:T506" si="1036">SUM(R505:S505)</f>
        <v>808170</v>
      </c>
      <c r="U505" s="83">
        <v>808170</v>
      </c>
      <c r="V505" s="83">
        <v>0</v>
      </c>
      <c r="W505" s="264">
        <f t="shared" ref="W505:W506" si="1037">SUM(U505:V505)</f>
        <v>808170</v>
      </c>
      <c r="X505" s="83">
        <v>0</v>
      </c>
      <c r="Y505" s="83">
        <v>0</v>
      </c>
      <c r="Z505" s="264">
        <f t="shared" ref="Z505:Z506" si="1038">SUM(X505:Y505)</f>
        <v>0</v>
      </c>
      <c r="AA505" s="83">
        <v>0</v>
      </c>
      <c r="AB505" s="83">
        <v>0</v>
      </c>
      <c r="AC505" s="264">
        <f t="shared" ref="AC505:AC506" si="1039">SUM(AA505:AB505)</f>
        <v>0</v>
      </c>
      <c r="AD505" s="83">
        <f t="shared" si="1031"/>
        <v>4040850</v>
      </c>
      <c r="AE505" s="83">
        <f t="shared" si="1032"/>
        <v>0</v>
      </c>
      <c r="AF505" s="264">
        <f t="shared" ref="AF505:AF506" si="1040">AD505+AE505</f>
        <v>4040850</v>
      </c>
      <c r="AG505" s="83">
        <f>808170*3</f>
        <v>2424510</v>
      </c>
      <c r="AH505" s="83">
        <v>0</v>
      </c>
      <c r="AI505" s="264">
        <f t="shared" ref="AI505:AI506" si="1041">SUM(AG505:AH505)</f>
        <v>2424510</v>
      </c>
      <c r="AJ505" s="83">
        <v>0</v>
      </c>
      <c r="AK505" s="83">
        <v>0</v>
      </c>
      <c r="AL505" s="83"/>
      <c r="AM505" s="264">
        <f t="shared" si="1007"/>
        <v>0</v>
      </c>
      <c r="AN505" s="83">
        <f>808170*2</f>
        <v>1616340</v>
      </c>
      <c r="AO505" s="83">
        <v>0</v>
      </c>
      <c r="AP505" s="264">
        <f t="shared" ref="AP505:AP506" si="1042">SUM(AN505:AO505)</f>
        <v>1616340</v>
      </c>
      <c r="AQ505" s="578">
        <f t="shared" si="1008"/>
        <v>0</v>
      </c>
      <c r="AR505" s="47"/>
    </row>
    <row r="506" spans="2:44" ht="36" customHeight="1">
      <c r="B506" s="88" t="s">
        <v>1054</v>
      </c>
      <c r="C506" s="619" t="s">
        <v>1084</v>
      </c>
      <c r="D506" s="180"/>
      <c r="E506" s="802" t="s">
        <v>1085</v>
      </c>
      <c r="F506" s="631"/>
      <c r="G506" s="602">
        <v>2024</v>
      </c>
      <c r="H506" s="602">
        <v>2028</v>
      </c>
      <c r="I506" s="586">
        <v>0</v>
      </c>
      <c r="J506" s="586">
        <v>0</v>
      </c>
      <c r="K506" s="270">
        <f t="shared" si="1033"/>
        <v>0</v>
      </c>
      <c r="L506" s="586">
        <v>0</v>
      </c>
      <c r="M506" s="586">
        <v>0</v>
      </c>
      <c r="N506" s="270">
        <f t="shared" si="1034"/>
        <v>0</v>
      </c>
      <c r="O506" s="586">
        <v>0</v>
      </c>
      <c r="P506" s="586">
        <v>0</v>
      </c>
      <c r="Q506" s="270">
        <f t="shared" si="1035"/>
        <v>0</v>
      </c>
      <c r="R506" s="586">
        <v>0</v>
      </c>
      <c r="S506" s="586">
        <v>0</v>
      </c>
      <c r="T506" s="270">
        <f t="shared" si="1036"/>
        <v>0</v>
      </c>
      <c r="U506" s="586">
        <v>0</v>
      </c>
      <c r="V506" s="586">
        <v>0</v>
      </c>
      <c r="W506" s="270">
        <f t="shared" si="1037"/>
        <v>0</v>
      </c>
      <c r="X506" s="586">
        <v>0</v>
      </c>
      <c r="Y506" s="586">
        <v>0</v>
      </c>
      <c r="Z506" s="270">
        <f t="shared" si="1038"/>
        <v>0</v>
      </c>
      <c r="AA506" s="586">
        <v>0</v>
      </c>
      <c r="AB506" s="586">
        <v>0</v>
      </c>
      <c r="AC506" s="270">
        <f t="shared" si="1039"/>
        <v>0</v>
      </c>
      <c r="AD506" s="586">
        <f t="shared" si="1031"/>
        <v>0</v>
      </c>
      <c r="AE506" s="586">
        <f t="shared" si="1032"/>
        <v>0</v>
      </c>
      <c r="AF506" s="270">
        <f t="shared" si="1040"/>
        <v>0</v>
      </c>
      <c r="AG506" s="586">
        <v>0</v>
      </c>
      <c r="AH506" s="586">
        <v>0</v>
      </c>
      <c r="AI506" s="270">
        <f t="shared" si="1041"/>
        <v>0</v>
      </c>
      <c r="AJ506" s="586">
        <v>0</v>
      </c>
      <c r="AK506" s="586">
        <v>0</v>
      </c>
      <c r="AL506" s="586"/>
      <c r="AM506" s="270">
        <f t="shared" si="1007"/>
        <v>0</v>
      </c>
      <c r="AN506" s="586">
        <v>0</v>
      </c>
      <c r="AO506" s="586">
        <v>0</v>
      </c>
      <c r="AP506" s="270">
        <f t="shared" si="1042"/>
        <v>0</v>
      </c>
      <c r="AQ506" s="587">
        <f t="shared" si="1008"/>
        <v>0</v>
      </c>
      <c r="AR506" s="47"/>
    </row>
    <row r="507" spans="2:44" ht="36" customHeight="1">
      <c r="B507" s="210" t="s">
        <v>1080</v>
      </c>
      <c r="C507" s="571" t="s">
        <v>1095</v>
      </c>
      <c r="D507" s="217"/>
      <c r="E507" s="570" t="s">
        <v>1059</v>
      </c>
      <c r="F507" s="570"/>
      <c r="G507" s="633">
        <v>2024</v>
      </c>
      <c r="H507" s="633">
        <v>2030</v>
      </c>
      <c r="I507" s="197">
        <f>SUM(I508:I511)</f>
        <v>808170</v>
      </c>
      <c r="J507" s="197">
        <f>SUM(J508:J511)</f>
        <v>0</v>
      </c>
      <c r="K507" s="197">
        <f>I507+J507</f>
        <v>808170</v>
      </c>
      <c r="L507" s="197">
        <f>SUM(L508:L511)</f>
        <v>1630065</v>
      </c>
      <c r="M507" s="197">
        <f>SUM(M508:M511)</f>
        <v>0</v>
      </c>
      <c r="N507" s="197">
        <f>L507+M507</f>
        <v>1630065</v>
      </c>
      <c r="O507" s="197">
        <f>SUM(O508:O511)</f>
        <v>1086710</v>
      </c>
      <c r="P507" s="197">
        <f>SUM(P508:P511)</f>
        <v>0</v>
      </c>
      <c r="Q507" s="197">
        <f>O507+P507</f>
        <v>1086710</v>
      </c>
      <c r="R507" s="197">
        <f t="shared" ref="R507:S507" si="1043">SUM(R508:R511)</f>
        <v>1086710</v>
      </c>
      <c r="S507" s="197">
        <f t="shared" si="1043"/>
        <v>0</v>
      </c>
      <c r="T507" s="197">
        <f>R507+S507</f>
        <v>1086710</v>
      </c>
      <c r="U507" s="197">
        <f>SUM(U508:U511)</f>
        <v>1086710</v>
      </c>
      <c r="V507" s="197">
        <f>SUM(V508:V511)</f>
        <v>0</v>
      </c>
      <c r="W507" s="197">
        <f>U507+V507</f>
        <v>1086710</v>
      </c>
      <c r="X507" s="197">
        <f t="shared" ref="X507:Y507" si="1044">SUM(X508:X511)</f>
        <v>1086710</v>
      </c>
      <c r="Y507" s="197">
        <f t="shared" si="1044"/>
        <v>0</v>
      </c>
      <c r="Z507" s="197">
        <f>SUM(X507:Y507)</f>
        <v>1086710</v>
      </c>
      <c r="AA507" s="197">
        <f>SUM(AA508:AA511)</f>
        <v>1086710</v>
      </c>
      <c r="AB507" s="197">
        <f>SUM(AB508:AB511)</f>
        <v>0</v>
      </c>
      <c r="AC507" s="197">
        <f>SUM(AA507:AB507)</f>
        <v>1086710</v>
      </c>
      <c r="AD507" s="197">
        <f t="shared" ref="AD507:AD511" si="1045">I507+L507+O507+R507+U507+X507+AA507</f>
        <v>7871785</v>
      </c>
      <c r="AE507" s="197">
        <f t="shared" ref="AE507:AE511" si="1046">J507+M507+P507+S507+V507+Y507+AB507</f>
        <v>0</v>
      </c>
      <c r="AF507" s="197">
        <f>AD507+AE507</f>
        <v>7871785</v>
      </c>
      <c r="AG507" s="197">
        <f t="shared" ref="AG507:AH507" si="1047">SUM(AG508:AG511)</f>
        <v>3524945</v>
      </c>
      <c r="AH507" s="197">
        <f t="shared" si="1047"/>
        <v>0</v>
      </c>
      <c r="AI507" s="197">
        <f>AG507+AH507</f>
        <v>3524945</v>
      </c>
      <c r="AJ507" s="197">
        <f t="shared" ref="AJ507:AK507" si="1048">SUM(AJ508:AJ511)</f>
        <v>0</v>
      </c>
      <c r="AK507" s="197">
        <f t="shared" si="1048"/>
        <v>0</v>
      </c>
      <c r="AL507" s="197"/>
      <c r="AM507" s="197">
        <f t="shared" si="1007"/>
        <v>0</v>
      </c>
      <c r="AN507" s="197">
        <f t="shared" ref="AN507:AO507" si="1049">SUM(AN508:AN511)</f>
        <v>4346840</v>
      </c>
      <c r="AO507" s="197">
        <f t="shared" si="1049"/>
        <v>0</v>
      </c>
      <c r="AP507" s="197">
        <f>AN507+AO507</f>
        <v>4346840</v>
      </c>
      <c r="AQ507" s="577">
        <f t="shared" si="1008"/>
        <v>0</v>
      </c>
      <c r="AR507" s="47"/>
    </row>
    <row r="508" spans="2:44" ht="36" customHeight="1">
      <c r="B508" s="35" t="s">
        <v>1081</v>
      </c>
      <c r="C508" s="632" t="s">
        <v>1096</v>
      </c>
      <c r="D508" s="92"/>
      <c r="E508" s="552" t="s">
        <v>1059</v>
      </c>
      <c r="F508" s="93"/>
      <c r="G508" s="626">
        <v>2024</v>
      </c>
      <c r="H508" s="626">
        <v>2024</v>
      </c>
      <c r="I508" s="83">
        <v>808170</v>
      </c>
      <c r="J508" s="83">
        <v>0</v>
      </c>
      <c r="K508" s="264">
        <f t="shared" ref="K508:K511" si="1050">SUM(I508:J508)</f>
        <v>808170</v>
      </c>
      <c r="L508" s="83">
        <v>0</v>
      </c>
      <c r="M508" s="83">
        <v>0</v>
      </c>
      <c r="N508" s="264">
        <f t="shared" ref="N508:N511" si="1051">SUM(L508:M508)</f>
        <v>0</v>
      </c>
      <c r="O508" s="83">
        <v>0</v>
      </c>
      <c r="P508" s="83">
        <v>0</v>
      </c>
      <c r="Q508" s="264">
        <f t="shared" ref="Q508:Q511" si="1052">SUM(O508:P508)</f>
        <v>0</v>
      </c>
      <c r="R508" s="83">
        <v>0</v>
      </c>
      <c r="S508" s="83">
        <v>0</v>
      </c>
      <c r="T508" s="264">
        <f t="shared" ref="T508:T511" si="1053">SUM(R508:S508)</f>
        <v>0</v>
      </c>
      <c r="U508" s="83">
        <v>0</v>
      </c>
      <c r="V508" s="83">
        <v>0</v>
      </c>
      <c r="W508" s="264">
        <f t="shared" ref="W508:W511" si="1054">SUM(U508:V508)</f>
        <v>0</v>
      </c>
      <c r="X508" s="83">
        <v>0</v>
      </c>
      <c r="Y508" s="83">
        <v>0</v>
      </c>
      <c r="Z508" s="264">
        <f t="shared" ref="Z508:Z511" si="1055">SUM(X508:Y508)</f>
        <v>0</v>
      </c>
      <c r="AA508" s="83">
        <v>0</v>
      </c>
      <c r="AB508" s="83">
        <v>0</v>
      </c>
      <c r="AC508" s="264">
        <f t="shared" ref="AC508:AC511" si="1056">SUM(AA508:AB508)</f>
        <v>0</v>
      </c>
      <c r="AD508" s="83">
        <f t="shared" si="1045"/>
        <v>808170</v>
      </c>
      <c r="AE508" s="83">
        <f t="shared" si="1046"/>
        <v>0</v>
      </c>
      <c r="AF508" s="264">
        <f t="shared" ref="AF508:AF511" si="1057">AD508+AE508</f>
        <v>808170</v>
      </c>
      <c r="AG508" s="83">
        <v>808170</v>
      </c>
      <c r="AH508" s="83">
        <v>0</v>
      </c>
      <c r="AI508" s="264">
        <f t="shared" ref="AI508:AI511" si="1058">SUM(AG508:AH508)</f>
        <v>808170</v>
      </c>
      <c r="AJ508" s="83">
        <v>0</v>
      </c>
      <c r="AK508" s="83">
        <v>0</v>
      </c>
      <c r="AL508" s="83"/>
      <c r="AM508" s="264">
        <f t="shared" si="1007"/>
        <v>0</v>
      </c>
      <c r="AN508" s="83">
        <v>0</v>
      </c>
      <c r="AO508" s="83">
        <v>0</v>
      </c>
      <c r="AP508" s="264">
        <f t="shared" ref="AP508:AP511" si="1059">SUM(AN508:AO508)</f>
        <v>0</v>
      </c>
      <c r="AQ508" s="578">
        <f t="shared" si="1008"/>
        <v>0</v>
      </c>
      <c r="AR508" s="47"/>
    </row>
    <row r="509" spans="2:44" ht="36" customHeight="1">
      <c r="B509" s="35" t="s">
        <v>1086</v>
      </c>
      <c r="C509" s="632" t="s">
        <v>1097</v>
      </c>
      <c r="D509" s="92"/>
      <c r="E509" s="552" t="s">
        <v>1059</v>
      </c>
      <c r="F509" s="93"/>
      <c r="G509" s="626">
        <v>2025</v>
      </c>
      <c r="H509" s="626">
        <v>2025</v>
      </c>
      <c r="I509" s="83">
        <v>0</v>
      </c>
      <c r="J509" s="83">
        <v>0</v>
      </c>
      <c r="K509" s="264">
        <f t="shared" si="1050"/>
        <v>0</v>
      </c>
      <c r="L509" s="83">
        <v>543355</v>
      </c>
      <c r="M509" s="83">
        <v>0</v>
      </c>
      <c r="N509" s="264">
        <f t="shared" si="1051"/>
        <v>543355</v>
      </c>
      <c r="O509" s="83">
        <v>0</v>
      </c>
      <c r="P509" s="83">
        <v>0</v>
      </c>
      <c r="Q509" s="264">
        <f t="shared" si="1052"/>
        <v>0</v>
      </c>
      <c r="R509" s="83">
        <v>0</v>
      </c>
      <c r="S509" s="83">
        <v>0</v>
      </c>
      <c r="T509" s="264">
        <f t="shared" si="1053"/>
        <v>0</v>
      </c>
      <c r="U509" s="83">
        <v>0</v>
      </c>
      <c r="V509" s="83">
        <v>0</v>
      </c>
      <c r="W509" s="264">
        <f t="shared" si="1054"/>
        <v>0</v>
      </c>
      <c r="X509" s="83">
        <v>0</v>
      </c>
      <c r="Y509" s="83">
        <v>0</v>
      </c>
      <c r="Z509" s="264">
        <f t="shared" si="1055"/>
        <v>0</v>
      </c>
      <c r="AA509" s="83">
        <v>0</v>
      </c>
      <c r="AB509" s="83">
        <v>0</v>
      </c>
      <c r="AC509" s="264">
        <f t="shared" si="1056"/>
        <v>0</v>
      </c>
      <c r="AD509" s="83">
        <f t="shared" si="1045"/>
        <v>543355</v>
      </c>
      <c r="AE509" s="83">
        <f t="shared" si="1046"/>
        <v>0</v>
      </c>
      <c r="AF509" s="264">
        <f t="shared" si="1057"/>
        <v>543355</v>
      </c>
      <c r="AG509" s="83">
        <v>543355</v>
      </c>
      <c r="AH509" s="83">
        <v>0</v>
      </c>
      <c r="AI509" s="264">
        <f t="shared" si="1058"/>
        <v>543355</v>
      </c>
      <c r="AJ509" s="83">
        <v>0</v>
      </c>
      <c r="AK509" s="83">
        <v>0</v>
      </c>
      <c r="AL509" s="83"/>
      <c r="AM509" s="264">
        <f t="shared" si="1007"/>
        <v>0</v>
      </c>
      <c r="AN509" s="83">
        <v>0</v>
      </c>
      <c r="AO509" s="83">
        <v>0</v>
      </c>
      <c r="AP509" s="264">
        <f t="shared" si="1059"/>
        <v>0</v>
      </c>
      <c r="AQ509" s="578">
        <f t="shared" si="1008"/>
        <v>0</v>
      </c>
      <c r="AR509" s="47"/>
    </row>
    <row r="510" spans="2:44" ht="36" customHeight="1">
      <c r="B510" s="35" t="s">
        <v>1087</v>
      </c>
      <c r="C510" s="632" t="s">
        <v>1098</v>
      </c>
      <c r="D510" s="92"/>
      <c r="E510" s="552" t="s">
        <v>1059</v>
      </c>
      <c r="F510" s="93"/>
      <c r="G510" s="626">
        <v>2025</v>
      </c>
      <c r="H510" s="626">
        <v>2030</v>
      </c>
      <c r="I510" s="83">
        <v>0</v>
      </c>
      <c r="J510" s="83">
        <v>0</v>
      </c>
      <c r="K510" s="264">
        <f t="shared" si="1050"/>
        <v>0</v>
      </c>
      <c r="L510" s="83">
        <v>0</v>
      </c>
      <c r="M510" s="83">
        <v>0</v>
      </c>
      <c r="N510" s="264">
        <f t="shared" si="1051"/>
        <v>0</v>
      </c>
      <c r="O510" s="83">
        <v>0</v>
      </c>
      <c r="P510" s="83">
        <v>0</v>
      </c>
      <c r="Q510" s="264">
        <f t="shared" si="1052"/>
        <v>0</v>
      </c>
      <c r="R510" s="83">
        <v>0</v>
      </c>
      <c r="S510" s="83">
        <v>0</v>
      </c>
      <c r="T510" s="264">
        <f t="shared" si="1053"/>
        <v>0</v>
      </c>
      <c r="U510" s="83">
        <v>0</v>
      </c>
      <c r="V510" s="83">
        <v>0</v>
      </c>
      <c r="W510" s="264">
        <f t="shared" si="1054"/>
        <v>0</v>
      </c>
      <c r="X510" s="83">
        <v>0</v>
      </c>
      <c r="Y510" s="83">
        <v>0</v>
      </c>
      <c r="Z510" s="264">
        <f t="shared" si="1055"/>
        <v>0</v>
      </c>
      <c r="AA510" s="83">
        <v>0</v>
      </c>
      <c r="AB510" s="83">
        <v>0</v>
      </c>
      <c r="AC510" s="264">
        <f t="shared" si="1056"/>
        <v>0</v>
      </c>
      <c r="AD510" s="83">
        <f t="shared" si="1045"/>
        <v>0</v>
      </c>
      <c r="AE510" s="83">
        <f t="shared" si="1046"/>
        <v>0</v>
      </c>
      <c r="AF510" s="264">
        <f t="shared" si="1057"/>
        <v>0</v>
      </c>
      <c r="AG510" s="83">
        <v>0</v>
      </c>
      <c r="AH510" s="83">
        <v>0</v>
      </c>
      <c r="AI510" s="264">
        <f t="shared" si="1058"/>
        <v>0</v>
      </c>
      <c r="AJ510" s="83">
        <v>0</v>
      </c>
      <c r="AK510" s="83">
        <v>0</v>
      </c>
      <c r="AL510" s="83"/>
      <c r="AM510" s="264">
        <f t="shared" si="1007"/>
        <v>0</v>
      </c>
      <c r="AN510" s="83">
        <v>0</v>
      </c>
      <c r="AO510" s="83">
        <v>0</v>
      </c>
      <c r="AP510" s="264">
        <f t="shared" si="1059"/>
        <v>0</v>
      </c>
      <c r="AQ510" s="578">
        <f t="shared" si="1008"/>
        <v>0</v>
      </c>
      <c r="AR510" s="47"/>
    </row>
    <row r="511" spans="2:44" ht="36" customHeight="1">
      <c r="B511" s="35" t="s">
        <v>1088</v>
      </c>
      <c r="C511" s="632" t="s">
        <v>1099</v>
      </c>
      <c r="D511" s="92"/>
      <c r="E511" s="552" t="s">
        <v>1059</v>
      </c>
      <c r="F511" s="93"/>
      <c r="G511" s="626">
        <v>2025</v>
      </c>
      <c r="H511" s="626">
        <v>2030</v>
      </c>
      <c r="I511" s="83">
        <v>0</v>
      </c>
      <c r="J511" s="83">
        <v>0</v>
      </c>
      <c r="K511" s="264">
        <f t="shared" si="1050"/>
        <v>0</v>
      </c>
      <c r="L511" s="83">
        <v>1086710</v>
      </c>
      <c r="M511" s="83">
        <v>0</v>
      </c>
      <c r="N511" s="264">
        <f t="shared" si="1051"/>
        <v>1086710</v>
      </c>
      <c r="O511" s="83">
        <v>1086710</v>
      </c>
      <c r="P511" s="83">
        <v>0</v>
      </c>
      <c r="Q511" s="264">
        <f t="shared" si="1052"/>
        <v>1086710</v>
      </c>
      <c r="R511" s="83">
        <v>1086710</v>
      </c>
      <c r="S511" s="83">
        <v>0</v>
      </c>
      <c r="T511" s="264">
        <f t="shared" si="1053"/>
        <v>1086710</v>
      </c>
      <c r="U511" s="83">
        <v>1086710</v>
      </c>
      <c r="V511" s="83">
        <v>0</v>
      </c>
      <c r="W511" s="264">
        <f t="shared" si="1054"/>
        <v>1086710</v>
      </c>
      <c r="X511" s="83">
        <v>1086710</v>
      </c>
      <c r="Y511" s="83">
        <v>0</v>
      </c>
      <c r="Z511" s="264">
        <f t="shared" si="1055"/>
        <v>1086710</v>
      </c>
      <c r="AA511" s="83">
        <v>1086710</v>
      </c>
      <c r="AB511" s="83">
        <v>0</v>
      </c>
      <c r="AC511" s="264">
        <f t="shared" si="1056"/>
        <v>1086710</v>
      </c>
      <c r="AD511" s="83">
        <f t="shared" si="1045"/>
        <v>6520260</v>
      </c>
      <c r="AE511" s="83">
        <f t="shared" si="1046"/>
        <v>0</v>
      </c>
      <c r="AF511" s="264">
        <f t="shared" si="1057"/>
        <v>6520260</v>
      </c>
      <c r="AG511" s="83">
        <f>1086710*2</f>
        <v>2173420</v>
      </c>
      <c r="AH511" s="83">
        <v>0</v>
      </c>
      <c r="AI511" s="264">
        <f t="shared" si="1058"/>
        <v>2173420</v>
      </c>
      <c r="AJ511" s="83">
        <v>0</v>
      </c>
      <c r="AK511" s="83">
        <v>0</v>
      </c>
      <c r="AL511" s="83"/>
      <c r="AM511" s="264">
        <f t="shared" si="1007"/>
        <v>0</v>
      </c>
      <c r="AN511" s="83">
        <f>1086710*4</f>
        <v>4346840</v>
      </c>
      <c r="AO511" s="83">
        <v>0</v>
      </c>
      <c r="AP511" s="264">
        <f t="shared" si="1059"/>
        <v>4346840</v>
      </c>
      <c r="AQ511" s="578">
        <f t="shared" si="1008"/>
        <v>0</v>
      </c>
      <c r="AR511" s="47"/>
    </row>
    <row r="512" spans="2:44" ht="36" customHeight="1">
      <c r="B512" s="210" t="s">
        <v>1089</v>
      </c>
      <c r="C512" s="571" t="s">
        <v>1100</v>
      </c>
      <c r="D512" s="217"/>
      <c r="E512" s="570" t="s">
        <v>1101</v>
      </c>
      <c r="F512" s="570" t="s">
        <v>1102</v>
      </c>
      <c r="G512" s="633">
        <v>2024</v>
      </c>
      <c r="H512" s="633">
        <v>2030</v>
      </c>
      <c r="I512" s="197">
        <f>SUM(I513:I516)</f>
        <v>180000</v>
      </c>
      <c r="J512" s="197">
        <f>SUM(J513:J516)</f>
        <v>0</v>
      </c>
      <c r="K512" s="197">
        <f>I512+J512</f>
        <v>180000</v>
      </c>
      <c r="L512" s="197">
        <f>SUM(L513:L516)</f>
        <v>180000</v>
      </c>
      <c r="M512" s="197">
        <f>SUM(M513:M516)</f>
        <v>31000000</v>
      </c>
      <c r="N512" s="197">
        <f>L512+M512</f>
        <v>31180000</v>
      </c>
      <c r="O512" s="197">
        <f>SUM(O513:O516)</f>
        <v>180000</v>
      </c>
      <c r="P512" s="197">
        <f>SUM(P513:P516)</f>
        <v>46100000</v>
      </c>
      <c r="Q512" s="197">
        <f>O512+P512</f>
        <v>46280000</v>
      </c>
      <c r="R512" s="197">
        <f t="shared" ref="R512:S512" si="1060">SUM(R513:R516)</f>
        <v>180000</v>
      </c>
      <c r="S512" s="197">
        <f t="shared" si="1060"/>
        <v>0</v>
      </c>
      <c r="T512" s="197">
        <f>R512+S512</f>
        <v>180000</v>
      </c>
      <c r="U512" s="197">
        <f>SUM(U513:U516)</f>
        <v>9878050</v>
      </c>
      <c r="V512" s="197">
        <f>SUM(V513:V516)</f>
        <v>0</v>
      </c>
      <c r="W512" s="197">
        <f>U512+V512</f>
        <v>9878050</v>
      </c>
      <c r="X512" s="197">
        <f t="shared" ref="X512:Y512" si="1061">SUM(X513:X516)</f>
        <v>180000</v>
      </c>
      <c r="Y512" s="197">
        <f t="shared" si="1061"/>
        <v>0</v>
      </c>
      <c r="Z512" s="197">
        <f>SUM(X512:Y512)</f>
        <v>180000</v>
      </c>
      <c r="AA512" s="197">
        <f>SUM(AA513:AA516)</f>
        <v>180000</v>
      </c>
      <c r="AB512" s="197">
        <f>SUM(AB513:AB516)</f>
        <v>0</v>
      </c>
      <c r="AC512" s="197">
        <f>SUM(AA512:AB512)</f>
        <v>180000</v>
      </c>
      <c r="AD512" s="197">
        <f t="shared" ref="AD512:AD516" si="1062">I512+L512+O512+R512+U512+X512+AA512</f>
        <v>10958050</v>
      </c>
      <c r="AE512" s="197">
        <f t="shared" ref="AE512:AE516" si="1063">J512+M512+P512+S512+V512+Y512+AB512</f>
        <v>77100000</v>
      </c>
      <c r="AF512" s="197">
        <f>AD512+AE512</f>
        <v>88058050</v>
      </c>
      <c r="AG512" s="197">
        <f t="shared" ref="AG512:AH512" si="1064">SUM(AG513:AG516)</f>
        <v>540000</v>
      </c>
      <c r="AH512" s="197">
        <f t="shared" si="1064"/>
        <v>46100000</v>
      </c>
      <c r="AI512" s="197">
        <f>AG512+AH512</f>
        <v>46640000</v>
      </c>
      <c r="AJ512" s="197">
        <f t="shared" ref="AJ512:AK512" si="1065">SUM(AJ513:AJ516)</f>
        <v>0</v>
      </c>
      <c r="AK512" s="197">
        <f t="shared" si="1065"/>
        <v>0</v>
      </c>
      <c r="AL512" s="197"/>
      <c r="AM512" s="197">
        <f t="shared" ref="AM512:AM529" si="1066">AJ512+AK512</f>
        <v>0</v>
      </c>
      <c r="AN512" s="197">
        <f t="shared" ref="AN512:AO512" si="1067">SUM(AN513:AN516)</f>
        <v>10418050</v>
      </c>
      <c r="AO512" s="197">
        <f t="shared" si="1067"/>
        <v>0</v>
      </c>
      <c r="AP512" s="197">
        <f>AN512+AO512</f>
        <v>10418050</v>
      </c>
      <c r="AQ512" s="577">
        <f t="shared" ref="AQ512:AQ529" si="1068">SUM(AP512+AM512+AI512)-AF512</f>
        <v>-31000000</v>
      </c>
      <c r="AR512" s="47"/>
    </row>
    <row r="513" spans="2:44" ht="36" customHeight="1">
      <c r="B513" s="35" t="s">
        <v>1090</v>
      </c>
      <c r="C513" s="608" t="s">
        <v>1645</v>
      </c>
      <c r="D513" s="92"/>
      <c r="E513" s="552" t="s">
        <v>1101</v>
      </c>
      <c r="F513" s="552"/>
      <c r="G513" s="626">
        <v>2028</v>
      </c>
      <c r="H513" s="626">
        <v>2028</v>
      </c>
      <c r="I513" s="83">
        <v>0</v>
      </c>
      <c r="J513" s="83">
        <v>0</v>
      </c>
      <c r="K513" s="264">
        <f t="shared" ref="K513:K516" si="1069">SUM(I513:J513)</f>
        <v>0</v>
      </c>
      <c r="L513" s="83">
        <v>0</v>
      </c>
      <c r="M513" s="83">
        <v>0</v>
      </c>
      <c r="N513" s="264">
        <f t="shared" ref="N513:N516" si="1070">SUM(L513:M513)</f>
        <v>0</v>
      </c>
      <c r="O513" s="83">
        <v>0</v>
      </c>
      <c r="P513" s="83">
        <v>0</v>
      </c>
      <c r="Q513" s="264">
        <f t="shared" ref="Q513:Q516" si="1071">SUM(O513:P513)</f>
        <v>0</v>
      </c>
      <c r="R513" s="83">
        <v>0</v>
      </c>
      <c r="S513" s="83">
        <v>0</v>
      </c>
      <c r="T513" s="264">
        <f t="shared" ref="T513:T516" si="1072">SUM(R513:S513)</f>
        <v>0</v>
      </c>
      <c r="U513" s="83">
        <v>9698050</v>
      </c>
      <c r="V513" s="83">
        <v>0</v>
      </c>
      <c r="W513" s="264">
        <f t="shared" ref="W513:W516" si="1073">SUM(U513:V513)</f>
        <v>9698050</v>
      </c>
      <c r="X513" s="83">
        <v>0</v>
      </c>
      <c r="Y513" s="83">
        <v>0</v>
      </c>
      <c r="Z513" s="264">
        <f t="shared" ref="Z513:Z516" si="1074">SUM(X513:Y513)</f>
        <v>0</v>
      </c>
      <c r="AA513" s="83">
        <v>0</v>
      </c>
      <c r="AB513" s="83">
        <v>0</v>
      </c>
      <c r="AC513" s="264">
        <f t="shared" ref="AC513:AC516" si="1075">SUM(AA513:AB513)</f>
        <v>0</v>
      </c>
      <c r="AD513" s="83">
        <f t="shared" si="1062"/>
        <v>9698050</v>
      </c>
      <c r="AE513" s="83">
        <f t="shared" si="1063"/>
        <v>0</v>
      </c>
      <c r="AF513" s="264">
        <f t="shared" ref="AF513:AF516" si="1076">AD513+AE513</f>
        <v>9698050</v>
      </c>
      <c r="AG513" s="83">
        <v>0</v>
      </c>
      <c r="AH513" s="83">
        <v>0</v>
      </c>
      <c r="AI513" s="264">
        <f t="shared" ref="AI513:AI516" si="1077">SUM(AG513:AH513)</f>
        <v>0</v>
      </c>
      <c r="AJ513" s="83">
        <v>0</v>
      </c>
      <c r="AK513" s="83">
        <v>0</v>
      </c>
      <c r="AL513" s="83"/>
      <c r="AM513" s="264">
        <f t="shared" si="1066"/>
        <v>0</v>
      </c>
      <c r="AN513" s="83">
        <v>9698050</v>
      </c>
      <c r="AO513" s="83">
        <v>0</v>
      </c>
      <c r="AP513" s="264">
        <f t="shared" ref="AP513:AP516" si="1078">SUM(AN513:AO513)</f>
        <v>9698050</v>
      </c>
      <c r="AQ513" s="578">
        <f t="shared" si="1068"/>
        <v>0</v>
      </c>
      <c r="AR513" s="47"/>
    </row>
    <row r="514" spans="2:44" ht="36" customHeight="1">
      <c r="B514" s="35" t="s">
        <v>1091</v>
      </c>
      <c r="C514" s="608" t="s">
        <v>1103</v>
      </c>
      <c r="D514" s="92"/>
      <c r="E514" s="552" t="s">
        <v>1101</v>
      </c>
      <c r="F514" s="552"/>
      <c r="G514" s="626">
        <v>2026</v>
      </c>
      <c r="H514" s="626">
        <v>2026</v>
      </c>
      <c r="I514" s="83">
        <v>0</v>
      </c>
      <c r="J514" s="83">
        <v>0</v>
      </c>
      <c r="K514" s="264">
        <f t="shared" si="1069"/>
        <v>0</v>
      </c>
      <c r="L514" s="83">
        <v>0</v>
      </c>
      <c r="M514" s="83">
        <v>0</v>
      </c>
      <c r="N514" s="264">
        <f t="shared" si="1070"/>
        <v>0</v>
      </c>
      <c r="O514" s="83">
        <v>0</v>
      </c>
      <c r="P514" s="83">
        <v>46100000</v>
      </c>
      <c r="Q514" s="264">
        <f t="shared" si="1071"/>
        <v>46100000</v>
      </c>
      <c r="R514" s="83">
        <v>0</v>
      </c>
      <c r="S514" s="83">
        <v>0</v>
      </c>
      <c r="T514" s="264">
        <f t="shared" si="1072"/>
        <v>0</v>
      </c>
      <c r="U514" s="83">
        <v>0</v>
      </c>
      <c r="V514" s="83">
        <v>0</v>
      </c>
      <c r="W514" s="264">
        <f t="shared" si="1073"/>
        <v>0</v>
      </c>
      <c r="X514" s="83">
        <v>0</v>
      </c>
      <c r="Y514" s="83">
        <v>0</v>
      </c>
      <c r="Z514" s="264">
        <f t="shared" si="1074"/>
        <v>0</v>
      </c>
      <c r="AA514" s="83">
        <v>0</v>
      </c>
      <c r="AB514" s="83">
        <v>0</v>
      </c>
      <c r="AC514" s="264">
        <f t="shared" si="1075"/>
        <v>0</v>
      </c>
      <c r="AD514" s="83">
        <f t="shared" si="1062"/>
        <v>0</v>
      </c>
      <c r="AE514" s="83">
        <f t="shared" si="1063"/>
        <v>46100000</v>
      </c>
      <c r="AF514" s="264">
        <f t="shared" si="1076"/>
        <v>46100000</v>
      </c>
      <c r="AG514" s="83">
        <v>0</v>
      </c>
      <c r="AH514" s="83">
        <v>46100000</v>
      </c>
      <c r="AI514" s="264">
        <f t="shared" si="1077"/>
        <v>46100000</v>
      </c>
      <c r="AJ514" s="83">
        <v>0</v>
      </c>
      <c r="AK514" s="83">
        <v>0</v>
      </c>
      <c r="AL514" s="83"/>
      <c r="AM514" s="264">
        <f t="shared" si="1066"/>
        <v>0</v>
      </c>
      <c r="AN514" s="83">
        <v>0</v>
      </c>
      <c r="AO514" s="83">
        <v>0</v>
      </c>
      <c r="AP514" s="264">
        <f t="shared" si="1078"/>
        <v>0</v>
      </c>
      <c r="AQ514" s="578">
        <f t="shared" si="1068"/>
        <v>0</v>
      </c>
      <c r="AR514" s="47"/>
    </row>
    <row r="515" spans="2:44" ht="36" customHeight="1">
      <c r="B515" s="35" t="s">
        <v>1092</v>
      </c>
      <c r="C515" s="608" t="s">
        <v>1104</v>
      </c>
      <c r="D515" s="92"/>
      <c r="E515" s="552" t="s">
        <v>1101</v>
      </c>
      <c r="F515" s="552"/>
      <c r="G515" s="626">
        <v>2026</v>
      </c>
      <c r="H515" s="626">
        <v>2026</v>
      </c>
      <c r="I515" s="83">
        <v>0</v>
      </c>
      <c r="J515" s="83">
        <v>0</v>
      </c>
      <c r="K515" s="264">
        <f t="shared" si="1069"/>
        <v>0</v>
      </c>
      <c r="L515" s="83">
        <v>0</v>
      </c>
      <c r="M515" s="83">
        <v>31000000</v>
      </c>
      <c r="N515" s="264">
        <f t="shared" si="1070"/>
        <v>31000000</v>
      </c>
      <c r="O515" s="83">
        <v>0</v>
      </c>
      <c r="P515" s="83">
        <v>0</v>
      </c>
      <c r="Q515" s="264">
        <f t="shared" si="1071"/>
        <v>0</v>
      </c>
      <c r="R515" s="83">
        <v>0</v>
      </c>
      <c r="S515" s="83">
        <v>0</v>
      </c>
      <c r="T515" s="264">
        <f t="shared" si="1072"/>
        <v>0</v>
      </c>
      <c r="U515" s="83">
        <v>0</v>
      </c>
      <c r="V515" s="83">
        <v>0</v>
      </c>
      <c r="W515" s="264">
        <f t="shared" si="1073"/>
        <v>0</v>
      </c>
      <c r="X515" s="83">
        <v>0</v>
      </c>
      <c r="Y515" s="83">
        <v>0</v>
      </c>
      <c r="Z515" s="264">
        <f t="shared" si="1074"/>
        <v>0</v>
      </c>
      <c r="AA515" s="83">
        <v>0</v>
      </c>
      <c r="AB515" s="83">
        <v>0</v>
      </c>
      <c r="AC515" s="264">
        <f t="shared" si="1075"/>
        <v>0</v>
      </c>
      <c r="AD515" s="83">
        <f t="shared" si="1062"/>
        <v>0</v>
      </c>
      <c r="AE515" s="83">
        <f t="shared" si="1063"/>
        <v>31000000</v>
      </c>
      <c r="AF515" s="264">
        <f t="shared" si="1076"/>
        <v>31000000</v>
      </c>
      <c r="AG515" s="83">
        <v>0</v>
      </c>
      <c r="AH515" s="83">
        <v>0</v>
      </c>
      <c r="AI515" s="264">
        <f t="shared" si="1077"/>
        <v>0</v>
      </c>
      <c r="AJ515" s="83">
        <v>0</v>
      </c>
      <c r="AK515" s="83">
        <v>0</v>
      </c>
      <c r="AL515" s="83"/>
      <c r="AM515" s="264">
        <f t="shared" si="1066"/>
        <v>0</v>
      </c>
      <c r="AN515" s="83">
        <v>0</v>
      </c>
      <c r="AO515" s="83">
        <v>0</v>
      </c>
      <c r="AP515" s="264">
        <f t="shared" si="1078"/>
        <v>0</v>
      </c>
      <c r="AQ515" s="578">
        <f t="shared" si="1068"/>
        <v>-31000000</v>
      </c>
      <c r="AR515" s="47"/>
    </row>
    <row r="516" spans="2:44" ht="36" customHeight="1">
      <c r="B516" s="35" t="s">
        <v>1093</v>
      </c>
      <c r="C516" s="608" t="s">
        <v>1599</v>
      </c>
      <c r="D516" s="92"/>
      <c r="E516" s="552" t="s">
        <v>1101</v>
      </c>
      <c r="F516" s="552" t="s">
        <v>1102</v>
      </c>
      <c r="G516" s="626">
        <v>2024</v>
      </c>
      <c r="H516" s="626">
        <v>2030</v>
      </c>
      <c r="I516" s="83">
        <v>180000</v>
      </c>
      <c r="J516" s="83">
        <v>0</v>
      </c>
      <c r="K516" s="264">
        <f t="shared" si="1069"/>
        <v>180000</v>
      </c>
      <c r="L516" s="83">
        <v>180000</v>
      </c>
      <c r="M516" s="83">
        <v>0</v>
      </c>
      <c r="N516" s="264">
        <f t="shared" si="1070"/>
        <v>180000</v>
      </c>
      <c r="O516" s="83">
        <v>180000</v>
      </c>
      <c r="P516" s="83">
        <v>0</v>
      </c>
      <c r="Q516" s="264">
        <f t="shared" si="1071"/>
        <v>180000</v>
      </c>
      <c r="R516" s="83">
        <v>180000</v>
      </c>
      <c r="S516" s="83">
        <v>0</v>
      </c>
      <c r="T516" s="264">
        <f t="shared" si="1072"/>
        <v>180000</v>
      </c>
      <c r="U516" s="83">
        <v>180000</v>
      </c>
      <c r="V516" s="83">
        <v>0</v>
      </c>
      <c r="W516" s="264">
        <f t="shared" si="1073"/>
        <v>180000</v>
      </c>
      <c r="X516" s="83">
        <v>180000</v>
      </c>
      <c r="Y516" s="83">
        <v>0</v>
      </c>
      <c r="Z516" s="264">
        <f t="shared" si="1074"/>
        <v>180000</v>
      </c>
      <c r="AA516" s="83">
        <v>180000</v>
      </c>
      <c r="AB516" s="83">
        <v>0</v>
      </c>
      <c r="AC516" s="264">
        <f t="shared" si="1075"/>
        <v>180000</v>
      </c>
      <c r="AD516" s="83">
        <f t="shared" si="1062"/>
        <v>1260000</v>
      </c>
      <c r="AE516" s="83">
        <f t="shared" si="1063"/>
        <v>0</v>
      </c>
      <c r="AF516" s="264">
        <f t="shared" si="1076"/>
        <v>1260000</v>
      </c>
      <c r="AG516" s="83">
        <f>180000*3</f>
        <v>540000</v>
      </c>
      <c r="AH516" s="83">
        <v>0</v>
      </c>
      <c r="AI516" s="264">
        <f t="shared" si="1077"/>
        <v>540000</v>
      </c>
      <c r="AJ516" s="83">
        <v>0</v>
      </c>
      <c r="AK516" s="83">
        <v>0</v>
      </c>
      <c r="AL516" s="83"/>
      <c r="AM516" s="264">
        <f t="shared" si="1066"/>
        <v>0</v>
      </c>
      <c r="AN516" s="83">
        <f>180000*4</f>
        <v>720000</v>
      </c>
      <c r="AO516" s="83"/>
      <c r="AP516" s="264">
        <f t="shared" si="1078"/>
        <v>720000</v>
      </c>
      <c r="AQ516" s="578">
        <f t="shared" si="1068"/>
        <v>0</v>
      </c>
      <c r="AR516" s="47"/>
    </row>
    <row r="517" spans="2:44" ht="36" customHeight="1">
      <c r="B517" s="596" t="s">
        <v>1094</v>
      </c>
      <c r="C517" s="597" t="s">
        <v>1126</v>
      </c>
      <c r="D517" s="598"/>
      <c r="E517" s="601" t="s">
        <v>1133</v>
      </c>
      <c r="F517" s="601" t="s">
        <v>1134</v>
      </c>
      <c r="G517" s="634">
        <v>2024</v>
      </c>
      <c r="H517" s="634">
        <v>2030</v>
      </c>
      <c r="I517" s="594">
        <f>SUM(I518:I523)</f>
        <v>543355</v>
      </c>
      <c r="J517" s="197">
        <f>SUM(J518:J523)</f>
        <v>0</v>
      </c>
      <c r="K517" s="197">
        <f>I517+J517</f>
        <v>543355</v>
      </c>
      <c r="L517" s="197">
        <f t="shared" ref="L517:M517" si="1079">SUM(L518:L523)</f>
        <v>1531525</v>
      </c>
      <c r="M517" s="197">
        <f t="shared" si="1079"/>
        <v>0</v>
      </c>
      <c r="N517" s="197">
        <f>L517+M517</f>
        <v>1531525</v>
      </c>
      <c r="O517" s="197">
        <f t="shared" ref="O517:P517" si="1080">SUM(O518:O523)</f>
        <v>1023355</v>
      </c>
      <c r="P517" s="197">
        <f t="shared" si="1080"/>
        <v>0</v>
      </c>
      <c r="Q517" s="197">
        <f>O517+P517</f>
        <v>1023355</v>
      </c>
      <c r="R517" s="197">
        <f t="shared" ref="R517:S517" si="1081">SUM(R518:R523)</f>
        <v>2074880</v>
      </c>
      <c r="S517" s="197">
        <f t="shared" si="1081"/>
        <v>0</v>
      </c>
      <c r="T517" s="197">
        <f>R517+S517</f>
        <v>2074880</v>
      </c>
      <c r="U517" s="197">
        <f t="shared" ref="U517:V517" si="1082">SUM(U518:U523)</f>
        <v>1266710</v>
      </c>
      <c r="V517" s="197">
        <f t="shared" si="1082"/>
        <v>0</v>
      </c>
      <c r="W517" s="197">
        <f>U517+V517</f>
        <v>1266710</v>
      </c>
      <c r="X517" s="197">
        <f t="shared" ref="X517:Y517" si="1083">SUM(X518:X523)</f>
        <v>1266710</v>
      </c>
      <c r="Y517" s="197">
        <f t="shared" si="1083"/>
        <v>0</v>
      </c>
      <c r="Z517" s="197">
        <f>SUM(X517:Y517)</f>
        <v>1266710</v>
      </c>
      <c r="AA517" s="197">
        <f t="shared" ref="AA517:AB517" si="1084">SUM(AA518:AA523)</f>
        <v>1266710</v>
      </c>
      <c r="AB517" s="197">
        <f t="shared" si="1084"/>
        <v>0</v>
      </c>
      <c r="AC517" s="197">
        <f>SUM(AA517:AB517)</f>
        <v>1266710</v>
      </c>
      <c r="AD517" s="197">
        <f t="shared" ref="AD517:AD523" si="1085">I517+L517+O517+R517+U517+X517+AA517</f>
        <v>8973245</v>
      </c>
      <c r="AE517" s="197">
        <f t="shared" ref="AE517:AE523" si="1086">J517+M517+P517+S517+V517+Y517+AB517</f>
        <v>0</v>
      </c>
      <c r="AF517" s="197">
        <f>AD517+AE517</f>
        <v>8973245</v>
      </c>
      <c r="AG517" s="197">
        <f>SUM(AG518:AG523)</f>
        <v>1990065</v>
      </c>
      <c r="AH517" s="197">
        <f>SUM(AH518:AH523)</f>
        <v>0</v>
      </c>
      <c r="AI517" s="197">
        <f>AG517+AH517</f>
        <v>1990065</v>
      </c>
      <c r="AJ517" s="197">
        <f t="shared" ref="AJ517:AK517" si="1087">SUM(AJ518:AJ523)</f>
        <v>0</v>
      </c>
      <c r="AK517" s="197">
        <f t="shared" si="1087"/>
        <v>0</v>
      </c>
      <c r="AL517" s="197"/>
      <c r="AM517" s="197">
        <f t="shared" si="1066"/>
        <v>0</v>
      </c>
      <c r="AN517" s="197">
        <f t="shared" ref="AN517:AO517" si="1088">SUM(AN518:AN523)</f>
        <v>5066840</v>
      </c>
      <c r="AO517" s="197">
        <f t="shared" si="1088"/>
        <v>0</v>
      </c>
      <c r="AP517" s="197">
        <f>AN517+AO517</f>
        <v>5066840</v>
      </c>
      <c r="AQ517" s="577">
        <f t="shared" si="1068"/>
        <v>-1916340</v>
      </c>
      <c r="AR517" s="47"/>
    </row>
    <row r="518" spans="2:44" ht="36" customHeight="1">
      <c r="B518" s="35" t="s">
        <v>1105</v>
      </c>
      <c r="C518" s="636" t="s">
        <v>1127</v>
      </c>
      <c r="D518" s="92"/>
      <c r="E518" s="638" t="s">
        <v>1133</v>
      </c>
      <c r="F518" s="639"/>
      <c r="G518" s="625" t="s">
        <v>1135</v>
      </c>
      <c r="H518" s="625" t="s">
        <v>1135</v>
      </c>
      <c r="I518" s="83">
        <v>0</v>
      </c>
      <c r="J518" s="83">
        <v>0</v>
      </c>
      <c r="K518" s="264">
        <f t="shared" ref="K518:K523" si="1089">SUM(I518:J518)</f>
        <v>0</v>
      </c>
      <c r="L518" s="83">
        <v>808170</v>
      </c>
      <c r="M518" s="83">
        <v>0</v>
      </c>
      <c r="N518" s="264">
        <f t="shared" ref="N518:N523" si="1090">SUM(L518:M518)</f>
        <v>808170</v>
      </c>
      <c r="O518" s="83">
        <v>0</v>
      </c>
      <c r="P518" s="83">
        <v>0</v>
      </c>
      <c r="Q518" s="264">
        <f t="shared" ref="Q518:Q523" si="1091">SUM(O518:P518)</f>
        <v>0</v>
      </c>
      <c r="R518" s="83">
        <v>808170</v>
      </c>
      <c r="S518" s="83">
        <v>0</v>
      </c>
      <c r="T518" s="264">
        <f t="shared" ref="T518:T523" si="1092">SUM(R518:S518)</f>
        <v>808170</v>
      </c>
      <c r="U518" s="83">
        <v>0</v>
      </c>
      <c r="V518" s="83">
        <v>0</v>
      </c>
      <c r="W518" s="264">
        <f t="shared" ref="W518:W523" si="1093">SUM(U518:V518)</f>
        <v>0</v>
      </c>
      <c r="X518" s="83">
        <v>0</v>
      </c>
      <c r="Y518" s="83">
        <v>0</v>
      </c>
      <c r="Z518" s="264">
        <f t="shared" ref="Z518:Z523" si="1094">SUM(X518:Y518)</f>
        <v>0</v>
      </c>
      <c r="AA518" s="83">
        <v>0</v>
      </c>
      <c r="AB518" s="83">
        <v>0</v>
      </c>
      <c r="AC518" s="264">
        <f t="shared" ref="AC518:AC523" si="1095">SUM(AA518:AB518)</f>
        <v>0</v>
      </c>
      <c r="AD518" s="83">
        <f t="shared" si="1085"/>
        <v>1616340</v>
      </c>
      <c r="AE518" s="83">
        <f t="shared" si="1086"/>
        <v>0</v>
      </c>
      <c r="AF518" s="264">
        <f t="shared" ref="AF518:AF523" si="1096">AD518+AE518</f>
        <v>1616340</v>
      </c>
      <c r="AG518" s="83">
        <v>0</v>
      </c>
      <c r="AH518" s="83">
        <v>0</v>
      </c>
      <c r="AI518" s="264">
        <f t="shared" ref="AI518:AI523" si="1097">SUM(AG518:AH518)</f>
        <v>0</v>
      </c>
      <c r="AJ518" s="83">
        <v>0</v>
      </c>
      <c r="AK518" s="83">
        <v>0</v>
      </c>
      <c r="AL518" s="83"/>
      <c r="AM518" s="264">
        <f t="shared" si="1066"/>
        <v>0</v>
      </c>
      <c r="AN518" s="83">
        <v>0</v>
      </c>
      <c r="AO518" s="83">
        <v>0</v>
      </c>
      <c r="AP518" s="264">
        <f t="shared" ref="AP518:AP523" si="1098">SUM(AN518:AO518)</f>
        <v>0</v>
      </c>
      <c r="AQ518" s="578">
        <f t="shared" si="1068"/>
        <v>-1616340</v>
      </c>
      <c r="AR518" s="47"/>
    </row>
    <row r="519" spans="2:44" ht="36" customHeight="1">
      <c r="B519" s="35" t="s">
        <v>1106</v>
      </c>
      <c r="C519" s="637" t="s">
        <v>1128</v>
      </c>
      <c r="D519" s="92"/>
      <c r="E519" s="552" t="s">
        <v>1133</v>
      </c>
      <c r="F519" s="640" t="s">
        <v>1027</v>
      </c>
      <c r="G519" s="626">
        <v>2025</v>
      </c>
      <c r="H519" s="626">
        <v>2030</v>
      </c>
      <c r="I519" s="83">
        <v>0</v>
      </c>
      <c r="J519" s="83">
        <v>0</v>
      </c>
      <c r="K519" s="264">
        <f t="shared" si="1089"/>
        <v>0</v>
      </c>
      <c r="L519" s="83">
        <v>0</v>
      </c>
      <c r="M519" s="83">
        <v>0</v>
      </c>
      <c r="N519" s="264">
        <f t="shared" si="1090"/>
        <v>0</v>
      </c>
      <c r="O519" s="83">
        <v>0</v>
      </c>
      <c r="P519" s="83">
        <v>0</v>
      </c>
      <c r="Q519" s="264">
        <f t="shared" si="1091"/>
        <v>0</v>
      </c>
      <c r="R519" s="83">
        <v>0</v>
      </c>
      <c r="S519" s="83">
        <v>0</v>
      </c>
      <c r="T519" s="264">
        <f t="shared" si="1092"/>
        <v>0</v>
      </c>
      <c r="U519" s="83">
        <v>0</v>
      </c>
      <c r="V519" s="83">
        <v>0</v>
      </c>
      <c r="W519" s="264">
        <f t="shared" si="1093"/>
        <v>0</v>
      </c>
      <c r="X519" s="83">
        <v>0</v>
      </c>
      <c r="Y519" s="83">
        <v>0</v>
      </c>
      <c r="Z519" s="264">
        <f t="shared" si="1094"/>
        <v>0</v>
      </c>
      <c r="AA519" s="83">
        <v>0</v>
      </c>
      <c r="AB519" s="83">
        <v>0</v>
      </c>
      <c r="AC519" s="264">
        <f t="shared" si="1095"/>
        <v>0</v>
      </c>
      <c r="AD519" s="83">
        <f t="shared" si="1085"/>
        <v>0</v>
      </c>
      <c r="AE519" s="83">
        <f t="shared" si="1086"/>
        <v>0</v>
      </c>
      <c r="AF519" s="264">
        <f t="shared" si="1096"/>
        <v>0</v>
      </c>
      <c r="AG519" s="83">
        <v>0</v>
      </c>
      <c r="AH519" s="83">
        <v>0</v>
      </c>
      <c r="AI519" s="264">
        <f t="shared" si="1097"/>
        <v>0</v>
      </c>
      <c r="AJ519" s="83">
        <v>0</v>
      </c>
      <c r="AK519" s="83">
        <v>0</v>
      </c>
      <c r="AL519" s="83"/>
      <c r="AM519" s="264">
        <f t="shared" si="1066"/>
        <v>0</v>
      </c>
      <c r="AN519" s="83">
        <v>0</v>
      </c>
      <c r="AO519" s="83">
        <v>0</v>
      </c>
      <c r="AP519" s="264">
        <f t="shared" si="1098"/>
        <v>0</v>
      </c>
      <c r="AQ519" s="578">
        <f t="shared" si="1068"/>
        <v>0</v>
      </c>
      <c r="AR519" s="47"/>
    </row>
    <row r="520" spans="2:44" ht="36" customHeight="1">
      <c r="B520" s="35" t="s">
        <v>1107</v>
      </c>
      <c r="C520" s="637" t="s">
        <v>1129</v>
      </c>
      <c r="D520" s="92"/>
      <c r="E520" s="552" t="s">
        <v>1133</v>
      </c>
      <c r="F520" s="640" t="s">
        <v>1102</v>
      </c>
      <c r="G520" s="626">
        <v>2024</v>
      </c>
      <c r="H520" s="626">
        <v>2030</v>
      </c>
      <c r="I520" s="83">
        <v>543355</v>
      </c>
      <c r="J520" s="83">
        <v>0</v>
      </c>
      <c r="K520" s="264">
        <f t="shared" si="1089"/>
        <v>543355</v>
      </c>
      <c r="L520" s="83">
        <v>543355</v>
      </c>
      <c r="M520" s="83">
        <v>0</v>
      </c>
      <c r="N520" s="264">
        <f t="shared" si="1090"/>
        <v>543355</v>
      </c>
      <c r="O520" s="83">
        <v>543355</v>
      </c>
      <c r="P520" s="83">
        <v>0</v>
      </c>
      <c r="Q520" s="264">
        <f t="shared" si="1091"/>
        <v>543355</v>
      </c>
      <c r="R520" s="83">
        <v>543355</v>
      </c>
      <c r="S520" s="83">
        <v>0</v>
      </c>
      <c r="T520" s="264">
        <f t="shared" si="1092"/>
        <v>543355</v>
      </c>
      <c r="U520" s="83">
        <v>543355</v>
      </c>
      <c r="V520" s="83">
        <v>0</v>
      </c>
      <c r="W520" s="264">
        <f t="shared" si="1093"/>
        <v>543355</v>
      </c>
      <c r="X520" s="83">
        <v>543355</v>
      </c>
      <c r="Y520" s="83">
        <v>0</v>
      </c>
      <c r="Z520" s="264">
        <f t="shared" si="1094"/>
        <v>543355</v>
      </c>
      <c r="AA520" s="83">
        <v>543355</v>
      </c>
      <c r="AB520" s="83">
        <v>0</v>
      </c>
      <c r="AC520" s="264">
        <f t="shared" si="1095"/>
        <v>543355</v>
      </c>
      <c r="AD520" s="83">
        <f t="shared" si="1085"/>
        <v>3803485</v>
      </c>
      <c r="AE520" s="83">
        <f t="shared" si="1086"/>
        <v>0</v>
      </c>
      <c r="AF520" s="264">
        <f t="shared" si="1096"/>
        <v>3803485</v>
      </c>
      <c r="AG520" s="83">
        <f>543355*3</f>
        <v>1630065</v>
      </c>
      <c r="AH520" s="83">
        <v>0</v>
      </c>
      <c r="AI520" s="264">
        <f t="shared" si="1097"/>
        <v>1630065</v>
      </c>
      <c r="AJ520" s="83">
        <v>0</v>
      </c>
      <c r="AK520" s="83">
        <v>0</v>
      </c>
      <c r="AL520" s="83"/>
      <c r="AM520" s="264">
        <f t="shared" si="1066"/>
        <v>0</v>
      </c>
      <c r="AN520" s="83">
        <f>543355*4</f>
        <v>2173420</v>
      </c>
      <c r="AO520" s="83">
        <v>0</v>
      </c>
      <c r="AP520" s="264">
        <f t="shared" si="1098"/>
        <v>2173420</v>
      </c>
      <c r="AQ520" s="578">
        <f t="shared" si="1068"/>
        <v>0</v>
      </c>
      <c r="AR520" s="47"/>
    </row>
    <row r="521" spans="2:44" ht="36" customHeight="1">
      <c r="B521" s="35" t="s">
        <v>1108</v>
      </c>
      <c r="C521" s="637" t="s">
        <v>1130</v>
      </c>
      <c r="D521" s="92"/>
      <c r="E521" s="552" t="s">
        <v>1133</v>
      </c>
      <c r="F521" s="640" t="s">
        <v>1102</v>
      </c>
      <c r="G521" s="626">
        <v>2024</v>
      </c>
      <c r="H521" s="626">
        <v>2030</v>
      </c>
      <c r="I521" s="83">
        <v>0</v>
      </c>
      <c r="J521" s="83">
        <v>0</v>
      </c>
      <c r="K521" s="264">
        <f t="shared" si="1089"/>
        <v>0</v>
      </c>
      <c r="L521" s="83">
        <v>180000</v>
      </c>
      <c r="M521" s="83">
        <v>0</v>
      </c>
      <c r="N521" s="264">
        <f t="shared" si="1090"/>
        <v>180000</v>
      </c>
      <c r="O521" s="83">
        <v>180000</v>
      </c>
      <c r="P521" s="83">
        <v>0</v>
      </c>
      <c r="Q521" s="264">
        <f t="shared" si="1091"/>
        <v>180000</v>
      </c>
      <c r="R521" s="83">
        <v>180000</v>
      </c>
      <c r="S521" s="83">
        <v>0</v>
      </c>
      <c r="T521" s="264">
        <f t="shared" si="1092"/>
        <v>180000</v>
      </c>
      <c r="U521" s="83">
        <v>180000</v>
      </c>
      <c r="V521" s="83">
        <v>0</v>
      </c>
      <c r="W521" s="264">
        <f t="shared" si="1093"/>
        <v>180000</v>
      </c>
      <c r="X521" s="83">
        <v>180000</v>
      </c>
      <c r="Y521" s="83">
        <v>0</v>
      </c>
      <c r="Z521" s="264">
        <f t="shared" si="1094"/>
        <v>180000</v>
      </c>
      <c r="AA521" s="83">
        <v>180000</v>
      </c>
      <c r="AB521" s="83">
        <v>0</v>
      </c>
      <c r="AC521" s="264">
        <f t="shared" si="1095"/>
        <v>180000</v>
      </c>
      <c r="AD521" s="83">
        <f t="shared" si="1085"/>
        <v>1080000</v>
      </c>
      <c r="AE521" s="83">
        <f t="shared" si="1086"/>
        <v>0</v>
      </c>
      <c r="AF521" s="264">
        <f t="shared" si="1096"/>
        <v>1080000</v>
      </c>
      <c r="AG521" s="83">
        <f>180000*2</f>
        <v>360000</v>
      </c>
      <c r="AH521" s="83">
        <v>0</v>
      </c>
      <c r="AI521" s="264">
        <f t="shared" si="1097"/>
        <v>360000</v>
      </c>
      <c r="AJ521" s="83">
        <v>0</v>
      </c>
      <c r="AK521" s="83">
        <v>0</v>
      </c>
      <c r="AL521" s="83"/>
      <c r="AM521" s="264">
        <f t="shared" si="1066"/>
        <v>0</v>
      </c>
      <c r="AN521" s="83">
        <f>180000*4</f>
        <v>720000</v>
      </c>
      <c r="AO521" s="83">
        <v>0</v>
      </c>
      <c r="AP521" s="264">
        <f t="shared" si="1098"/>
        <v>720000</v>
      </c>
      <c r="AQ521" s="578">
        <f t="shared" si="1068"/>
        <v>0</v>
      </c>
      <c r="AR521" s="47"/>
    </row>
    <row r="522" spans="2:44" ht="36" customHeight="1">
      <c r="B522" s="35" t="s">
        <v>1109</v>
      </c>
      <c r="C522" s="637" t="s">
        <v>1131</v>
      </c>
      <c r="D522" s="92"/>
      <c r="E522" s="552" t="s">
        <v>1133</v>
      </c>
      <c r="F522" s="640"/>
      <c r="G522" s="626">
        <v>2027</v>
      </c>
      <c r="H522" s="626">
        <v>2027</v>
      </c>
      <c r="I522" s="83">
        <v>0</v>
      </c>
      <c r="J522" s="83">
        <v>0</v>
      </c>
      <c r="K522" s="264">
        <f t="shared" si="1089"/>
        <v>0</v>
      </c>
      <c r="L522" s="83">
        <v>0</v>
      </c>
      <c r="M522" s="83">
        <v>0</v>
      </c>
      <c r="N522" s="264">
        <f t="shared" si="1090"/>
        <v>0</v>
      </c>
      <c r="O522" s="83">
        <v>300000</v>
      </c>
      <c r="P522" s="83">
        <v>0</v>
      </c>
      <c r="Q522" s="264">
        <f t="shared" si="1091"/>
        <v>300000</v>
      </c>
      <c r="R522" s="83">
        <v>0</v>
      </c>
      <c r="S522" s="83">
        <v>0</v>
      </c>
      <c r="T522" s="264">
        <f t="shared" si="1092"/>
        <v>0</v>
      </c>
      <c r="U522" s="83">
        <v>0</v>
      </c>
      <c r="V522" s="83">
        <v>0</v>
      </c>
      <c r="W522" s="264">
        <f t="shared" si="1093"/>
        <v>0</v>
      </c>
      <c r="X522" s="83">
        <v>0</v>
      </c>
      <c r="Y522" s="83">
        <v>0</v>
      </c>
      <c r="Z522" s="264">
        <f t="shared" si="1094"/>
        <v>0</v>
      </c>
      <c r="AA522" s="83">
        <v>0</v>
      </c>
      <c r="AB522" s="83">
        <v>0</v>
      </c>
      <c r="AC522" s="264">
        <f t="shared" si="1095"/>
        <v>0</v>
      </c>
      <c r="AD522" s="83">
        <f t="shared" si="1085"/>
        <v>300000</v>
      </c>
      <c r="AE522" s="83">
        <f t="shared" si="1086"/>
        <v>0</v>
      </c>
      <c r="AF522" s="264">
        <f t="shared" si="1096"/>
        <v>300000</v>
      </c>
      <c r="AG522" s="83">
        <v>0</v>
      </c>
      <c r="AH522" s="83">
        <v>0</v>
      </c>
      <c r="AI522" s="264">
        <f t="shared" si="1097"/>
        <v>0</v>
      </c>
      <c r="AJ522" s="83">
        <v>0</v>
      </c>
      <c r="AK522" s="83">
        <v>0</v>
      </c>
      <c r="AL522" s="83"/>
      <c r="AM522" s="264">
        <f t="shared" si="1066"/>
        <v>0</v>
      </c>
      <c r="AN522" s="83">
        <v>0</v>
      </c>
      <c r="AO522" s="83">
        <v>0</v>
      </c>
      <c r="AP522" s="264">
        <f t="shared" si="1098"/>
        <v>0</v>
      </c>
      <c r="AQ522" s="578">
        <f t="shared" si="1068"/>
        <v>-300000</v>
      </c>
      <c r="AR522" s="47"/>
    </row>
    <row r="523" spans="2:44" ht="36" customHeight="1" thickBot="1">
      <c r="B523" s="35" t="s">
        <v>1110</v>
      </c>
      <c r="C523" s="644" t="s">
        <v>1132</v>
      </c>
      <c r="D523" s="180"/>
      <c r="E523" s="563" t="s">
        <v>1133</v>
      </c>
      <c r="F523" s="645"/>
      <c r="G523" s="643">
        <v>2027</v>
      </c>
      <c r="H523" s="643">
        <v>2030</v>
      </c>
      <c r="I523" s="83">
        <v>0</v>
      </c>
      <c r="J523" s="83">
        <v>0</v>
      </c>
      <c r="K523" s="264">
        <f t="shared" si="1089"/>
        <v>0</v>
      </c>
      <c r="L523" s="83">
        <v>0</v>
      </c>
      <c r="M523" s="83">
        <v>0</v>
      </c>
      <c r="N523" s="264">
        <f t="shared" si="1090"/>
        <v>0</v>
      </c>
      <c r="O523" s="83">
        <v>0</v>
      </c>
      <c r="P523" s="83">
        <v>0</v>
      </c>
      <c r="Q523" s="264">
        <f t="shared" si="1091"/>
        <v>0</v>
      </c>
      <c r="R523" s="83">
        <v>543355</v>
      </c>
      <c r="S523" s="83">
        <v>0</v>
      </c>
      <c r="T523" s="264">
        <f t="shared" si="1092"/>
        <v>543355</v>
      </c>
      <c r="U523" s="83">
        <v>543355</v>
      </c>
      <c r="V523" s="83">
        <v>0</v>
      </c>
      <c r="W523" s="264">
        <f t="shared" si="1093"/>
        <v>543355</v>
      </c>
      <c r="X523" s="83">
        <v>543355</v>
      </c>
      <c r="Y523" s="83">
        <v>0</v>
      </c>
      <c r="Z523" s="264">
        <f t="shared" si="1094"/>
        <v>543355</v>
      </c>
      <c r="AA523" s="83">
        <v>543355</v>
      </c>
      <c r="AB523" s="83">
        <v>0</v>
      </c>
      <c r="AC523" s="264">
        <f t="shared" si="1095"/>
        <v>543355</v>
      </c>
      <c r="AD523" s="83">
        <f t="shared" si="1085"/>
        <v>2173420</v>
      </c>
      <c r="AE523" s="83">
        <f t="shared" si="1086"/>
        <v>0</v>
      </c>
      <c r="AF523" s="264">
        <f t="shared" si="1096"/>
        <v>2173420</v>
      </c>
      <c r="AG523" s="83">
        <v>0</v>
      </c>
      <c r="AH523" s="83">
        <v>0</v>
      </c>
      <c r="AI523" s="264">
        <f t="shared" si="1097"/>
        <v>0</v>
      </c>
      <c r="AJ523" s="83">
        <v>0</v>
      </c>
      <c r="AK523" s="83">
        <v>0</v>
      </c>
      <c r="AL523" s="83"/>
      <c r="AM523" s="264">
        <f t="shared" si="1066"/>
        <v>0</v>
      </c>
      <c r="AN523" s="83">
        <f>543355*4</f>
        <v>2173420</v>
      </c>
      <c r="AO523" s="83">
        <v>0</v>
      </c>
      <c r="AP523" s="264">
        <f t="shared" si="1098"/>
        <v>2173420</v>
      </c>
      <c r="AQ523" s="578">
        <f t="shared" si="1068"/>
        <v>0</v>
      </c>
      <c r="AR523" s="47"/>
    </row>
    <row r="524" spans="2:44" ht="36" customHeight="1">
      <c r="B524" s="210" t="s">
        <v>1111</v>
      </c>
      <c r="C524" s="571" t="s">
        <v>1136</v>
      </c>
      <c r="D524" s="217"/>
      <c r="E524" s="570" t="s">
        <v>1140</v>
      </c>
      <c r="F524" s="570"/>
      <c r="G524" s="621">
        <v>2024</v>
      </c>
      <c r="H524" s="621">
        <v>2030</v>
      </c>
      <c r="I524" s="197">
        <f>SUM(I525:I526)</f>
        <v>808170</v>
      </c>
      <c r="J524" s="197">
        <f>SUM(J525:J526)</f>
        <v>0</v>
      </c>
      <c r="K524" s="197">
        <f>I524+J524</f>
        <v>808170</v>
      </c>
      <c r="L524" s="197">
        <f>SUM(L525:L526)</f>
        <v>1800000</v>
      </c>
      <c r="M524" s="197">
        <f>SUM(M525:M526)</f>
        <v>0</v>
      </c>
      <c r="N524" s="197">
        <f>L524+M524</f>
        <v>1800000</v>
      </c>
      <c r="O524" s="197">
        <f>SUM(O525:O526)</f>
        <v>808170</v>
      </c>
      <c r="P524" s="197">
        <f>SUM(P525:P526)</f>
        <v>0</v>
      </c>
      <c r="Q524" s="197">
        <f>O524+P524</f>
        <v>808170</v>
      </c>
      <c r="R524" s="197">
        <f>SUM(R525:R526)</f>
        <v>1800000</v>
      </c>
      <c r="S524" s="197">
        <f>SUM(S525:S526)</f>
        <v>0</v>
      </c>
      <c r="T524" s="197">
        <f>R524+S524</f>
        <v>1800000</v>
      </c>
      <c r="U524" s="197">
        <f>SUM(U525:U526)</f>
        <v>808170</v>
      </c>
      <c r="V524" s="197">
        <f>SUM(V525:V526)</f>
        <v>0</v>
      </c>
      <c r="W524" s="197">
        <f>U524+V524</f>
        <v>808170</v>
      </c>
      <c r="X524" s="197">
        <f>SUM(X525:X526)</f>
        <v>1800000</v>
      </c>
      <c r="Y524" s="197">
        <f>SUM(Y525:Y526)</f>
        <v>0</v>
      </c>
      <c r="Z524" s="197">
        <f>SUM(X524:Y524)</f>
        <v>1800000</v>
      </c>
      <c r="AA524" s="197">
        <f>SUM(AA525:AA526)</f>
        <v>808170</v>
      </c>
      <c r="AB524" s="197">
        <f>SUM(AB525:AB526)</f>
        <v>0</v>
      </c>
      <c r="AC524" s="197">
        <f>SUM(AA524:AB524)</f>
        <v>808170</v>
      </c>
      <c r="AD524" s="197">
        <f t="shared" ref="AD524:AD526" si="1099">I524+L524+O524+R524+U524+X524+AA524</f>
        <v>8632680</v>
      </c>
      <c r="AE524" s="197">
        <f t="shared" ref="AE524:AE526" si="1100">J524+M524+P524+S524+V524+Y524+AB524</f>
        <v>0</v>
      </c>
      <c r="AF524" s="197">
        <f>AD524+AE524</f>
        <v>8632680</v>
      </c>
      <c r="AG524" s="197">
        <f>SUM(AG525:AG526)</f>
        <v>3416340</v>
      </c>
      <c r="AH524" s="197">
        <f>SUM(AH525:AH526)</f>
        <v>0</v>
      </c>
      <c r="AI524" s="197">
        <f>AG524+AH524</f>
        <v>3416340</v>
      </c>
      <c r="AJ524" s="197">
        <f>SUM(AJ525:AJ526)</f>
        <v>0</v>
      </c>
      <c r="AK524" s="197">
        <f>SUM(AK525:AK526)</f>
        <v>0</v>
      </c>
      <c r="AL524" s="197"/>
      <c r="AM524" s="197">
        <f t="shared" si="1066"/>
        <v>0</v>
      </c>
      <c r="AN524" s="197">
        <f>SUM(AN525:AN526)</f>
        <v>5216340</v>
      </c>
      <c r="AO524" s="197">
        <f>SUM(AO525:AO526)</f>
        <v>0</v>
      </c>
      <c r="AP524" s="197">
        <f>AN524+AO524</f>
        <v>5216340</v>
      </c>
      <c r="AQ524" s="577">
        <f t="shared" si="1068"/>
        <v>0</v>
      </c>
      <c r="AR524" s="47"/>
    </row>
    <row r="525" spans="2:44" ht="36" customHeight="1">
      <c r="B525" s="35" t="s">
        <v>1113</v>
      </c>
      <c r="C525" s="646" t="s">
        <v>1137</v>
      </c>
      <c r="D525" s="92"/>
      <c r="E525" s="552" t="s">
        <v>1139</v>
      </c>
      <c r="F525" s="93"/>
      <c r="G525" s="641" t="s">
        <v>1141</v>
      </c>
      <c r="H525" s="641" t="s">
        <v>1141</v>
      </c>
      <c r="I525" s="83">
        <v>808170</v>
      </c>
      <c r="J525" s="83">
        <v>0</v>
      </c>
      <c r="K525" s="264">
        <f t="shared" ref="K525:K526" si="1101">SUM(I525:J525)</f>
        <v>808170</v>
      </c>
      <c r="L525" s="83">
        <v>0</v>
      </c>
      <c r="M525" s="83">
        <v>0</v>
      </c>
      <c r="N525" s="264">
        <f t="shared" ref="N525:N526" si="1102">SUM(L525:M525)</f>
        <v>0</v>
      </c>
      <c r="O525" s="83">
        <v>808170</v>
      </c>
      <c r="P525" s="83">
        <v>0</v>
      </c>
      <c r="Q525" s="264">
        <f t="shared" ref="Q525:Q526" si="1103">SUM(O525:P525)</f>
        <v>808170</v>
      </c>
      <c r="R525" s="83">
        <v>0</v>
      </c>
      <c r="S525" s="83">
        <v>0</v>
      </c>
      <c r="T525" s="264">
        <f t="shared" ref="T525:T526" si="1104">SUM(R525:S525)</f>
        <v>0</v>
      </c>
      <c r="U525" s="83">
        <v>808170</v>
      </c>
      <c r="V525" s="83">
        <v>0</v>
      </c>
      <c r="W525" s="264">
        <f t="shared" ref="W525:W526" si="1105">SUM(U525:V525)</f>
        <v>808170</v>
      </c>
      <c r="X525" s="83">
        <v>0</v>
      </c>
      <c r="Y525" s="83">
        <v>0</v>
      </c>
      <c r="Z525" s="264">
        <f t="shared" ref="Z525:Z526" si="1106">SUM(X525:Y525)</f>
        <v>0</v>
      </c>
      <c r="AA525" s="83">
        <v>808170</v>
      </c>
      <c r="AB525" s="83">
        <v>0</v>
      </c>
      <c r="AC525" s="264">
        <f t="shared" ref="AC525:AC526" si="1107">SUM(AA525:AB525)</f>
        <v>808170</v>
      </c>
      <c r="AD525" s="83">
        <f t="shared" si="1099"/>
        <v>3232680</v>
      </c>
      <c r="AE525" s="83">
        <f t="shared" si="1100"/>
        <v>0</v>
      </c>
      <c r="AF525" s="264">
        <f t="shared" ref="AF525:AF526" si="1108">AD525+AE525</f>
        <v>3232680</v>
      </c>
      <c r="AG525" s="83">
        <f>808170*2</f>
        <v>1616340</v>
      </c>
      <c r="AH525" s="83">
        <v>0</v>
      </c>
      <c r="AI525" s="264">
        <f t="shared" ref="AI525:AI526" si="1109">SUM(AG525:AH525)</f>
        <v>1616340</v>
      </c>
      <c r="AJ525" s="83">
        <v>0</v>
      </c>
      <c r="AK525" s="83">
        <v>0</v>
      </c>
      <c r="AL525" s="83"/>
      <c r="AM525" s="264">
        <f t="shared" si="1066"/>
        <v>0</v>
      </c>
      <c r="AN525" s="83">
        <f>808170*2</f>
        <v>1616340</v>
      </c>
      <c r="AO525" s="83">
        <v>0</v>
      </c>
      <c r="AP525" s="264">
        <f t="shared" ref="AP525:AP526" si="1110">SUM(AN525:AO525)</f>
        <v>1616340</v>
      </c>
      <c r="AQ525" s="578">
        <f t="shared" si="1068"/>
        <v>0</v>
      </c>
      <c r="AR525" s="47"/>
    </row>
    <row r="526" spans="2:44" ht="36" customHeight="1" thickBot="1">
      <c r="B526" s="35" t="s">
        <v>1114</v>
      </c>
      <c r="C526" s="637" t="s">
        <v>1138</v>
      </c>
      <c r="D526" s="92"/>
      <c r="E526" s="552" t="s">
        <v>1140</v>
      </c>
      <c r="F526" s="93"/>
      <c r="G526" s="642" t="s">
        <v>1142</v>
      </c>
      <c r="H526" s="642" t="s">
        <v>1142</v>
      </c>
      <c r="I526" s="83">
        <v>0</v>
      </c>
      <c r="J526" s="83">
        <v>0</v>
      </c>
      <c r="K526" s="264">
        <f t="shared" si="1101"/>
        <v>0</v>
      </c>
      <c r="L526" s="83">
        <v>1800000</v>
      </c>
      <c r="M526" s="83"/>
      <c r="N526" s="264">
        <f t="shared" si="1102"/>
        <v>1800000</v>
      </c>
      <c r="O526" s="83">
        <v>0</v>
      </c>
      <c r="P526" s="83">
        <v>0</v>
      </c>
      <c r="Q526" s="264">
        <f t="shared" si="1103"/>
        <v>0</v>
      </c>
      <c r="R526" s="83">
        <v>1800000</v>
      </c>
      <c r="S526" s="83">
        <v>0</v>
      </c>
      <c r="T526" s="264">
        <f t="shared" si="1104"/>
        <v>1800000</v>
      </c>
      <c r="U526" s="83">
        <v>0</v>
      </c>
      <c r="V526" s="83">
        <v>0</v>
      </c>
      <c r="W526" s="264">
        <f t="shared" si="1105"/>
        <v>0</v>
      </c>
      <c r="X526" s="83">
        <v>1800000</v>
      </c>
      <c r="Y526" s="83">
        <v>0</v>
      </c>
      <c r="Z526" s="264">
        <f t="shared" si="1106"/>
        <v>1800000</v>
      </c>
      <c r="AA526" s="83">
        <v>0</v>
      </c>
      <c r="AB526" s="83">
        <v>0</v>
      </c>
      <c r="AC526" s="264">
        <f t="shared" si="1107"/>
        <v>0</v>
      </c>
      <c r="AD526" s="83">
        <f t="shared" si="1099"/>
        <v>5400000</v>
      </c>
      <c r="AE526" s="83">
        <f t="shared" si="1100"/>
        <v>0</v>
      </c>
      <c r="AF526" s="264">
        <f t="shared" si="1108"/>
        <v>5400000</v>
      </c>
      <c r="AG526" s="83">
        <f>1800000*1</f>
        <v>1800000</v>
      </c>
      <c r="AH526" s="83">
        <v>0</v>
      </c>
      <c r="AI526" s="264">
        <f t="shared" si="1109"/>
        <v>1800000</v>
      </c>
      <c r="AJ526" s="83">
        <v>0</v>
      </c>
      <c r="AK526" s="83">
        <v>0</v>
      </c>
      <c r="AL526" s="83"/>
      <c r="AM526" s="264">
        <f t="shared" si="1066"/>
        <v>0</v>
      </c>
      <c r="AN526" s="83">
        <f>1800000*2</f>
        <v>3600000</v>
      </c>
      <c r="AO526" s="83">
        <v>0</v>
      </c>
      <c r="AP526" s="264">
        <f t="shared" si="1110"/>
        <v>3600000</v>
      </c>
      <c r="AQ526" s="578">
        <f t="shared" si="1068"/>
        <v>0</v>
      </c>
      <c r="AR526" s="47"/>
    </row>
    <row r="527" spans="2:44" ht="36" customHeight="1" thickBot="1">
      <c r="B527" s="210" t="s">
        <v>1112</v>
      </c>
      <c r="C527" s="597" t="s">
        <v>1143</v>
      </c>
      <c r="D527" s="598"/>
      <c r="E527" s="570" t="s">
        <v>1146</v>
      </c>
      <c r="F527" s="570" t="s">
        <v>1147</v>
      </c>
      <c r="G527" s="633">
        <v>2024</v>
      </c>
      <c r="H527" s="633">
        <v>2030</v>
      </c>
      <c r="I527" s="197">
        <f>SUM(I528:I529)</f>
        <v>1079848</v>
      </c>
      <c r="J527" s="197">
        <f>SUM(J528:J529)</f>
        <v>0</v>
      </c>
      <c r="K527" s="197">
        <f>I527+J527</f>
        <v>1079848</v>
      </c>
      <c r="L527" s="197">
        <f>SUM(L528:L529)</f>
        <v>1079848</v>
      </c>
      <c r="M527" s="197">
        <f>SUM(M528:M529)</f>
        <v>0</v>
      </c>
      <c r="N527" s="197">
        <f>L527+M527</f>
        <v>1079848</v>
      </c>
      <c r="O527" s="197">
        <f>SUM(O528:O529)</f>
        <v>1079848</v>
      </c>
      <c r="P527" s="197">
        <f>SUM(P528:P529)</f>
        <v>0</v>
      </c>
      <c r="Q527" s="197">
        <f>O527+P527</f>
        <v>1079848</v>
      </c>
      <c r="R527" s="197">
        <f>SUM(R528:R529)</f>
        <v>1079848</v>
      </c>
      <c r="S527" s="197">
        <f>SUM(S528:S529)</f>
        <v>0</v>
      </c>
      <c r="T527" s="197">
        <f>R527+S527</f>
        <v>1079848</v>
      </c>
      <c r="U527" s="197">
        <f>SUM(U528:U529)</f>
        <v>1079848</v>
      </c>
      <c r="V527" s="197">
        <f>SUM(V528:V529)</f>
        <v>0</v>
      </c>
      <c r="W527" s="197">
        <f>U527+V527</f>
        <v>1079848</v>
      </c>
      <c r="X527" s="197">
        <f>SUM(X528:X529)</f>
        <v>1079848</v>
      </c>
      <c r="Y527" s="197">
        <f>SUM(Y528:Y529)</f>
        <v>0</v>
      </c>
      <c r="Z527" s="197">
        <f>SUM(X527:Y527)</f>
        <v>1079848</v>
      </c>
      <c r="AA527" s="197">
        <f>SUM(AA528:AA529)</f>
        <v>1079848</v>
      </c>
      <c r="AB527" s="197">
        <f>SUM(AB528:AB529)</f>
        <v>0</v>
      </c>
      <c r="AC527" s="197">
        <f>SUM(AA527:AB527)</f>
        <v>1079848</v>
      </c>
      <c r="AD527" s="197">
        <f t="shared" ref="AD527:AD529" si="1111">I527+L527+O527+R527+U527+X527+AA527</f>
        <v>7558936</v>
      </c>
      <c r="AE527" s="197">
        <f t="shared" ref="AE527:AE529" si="1112">J527+M527+P527+S527+V527+Y527+AB527</f>
        <v>0</v>
      </c>
      <c r="AF527" s="197">
        <f>AD527+AE527</f>
        <v>7558936</v>
      </c>
      <c r="AG527" s="197">
        <f>SUM(AG528:AG529)</f>
        <v>3239544</v>
      </c>
      <c r="AH527" s="197">
        <f>SUM(AH528:AH529)</f>
        <v>0</v>
      </c>
      <c r="AI527" s="197">
        <f>AG527+AH527</f>
        <v>3239544</v>
      </c>
      <c r="AJ527" s="197">
        <f>SUM(AJ528:AJ529)</f>
        <v>0</v>
      </c>
      <c r="AK527" s="197">
        <f>SUM(AK528:AK529)</f>
        <v>0</v>
      </c>
      <c r="AL527" s="197"/>
      <c r="AM527" s="197">
        <f t="shared" si="1066"/>
        <v>0</v>
      </c>
      <c r="AN527" s="197">
        <f>SUM(AN528:AN529)</f>
        <v>4319392</v>
      </c>
      <c r="AO527" s="197">
        <f>SUM(AO528:AO529)</f>
        <v>0</v>
      </c>
      <c r="AP527" s="197">
        <f>AN527+AO527</f>
        <v>4319392</v>
      </c>
      <c r="AQ527" s="577">
        <f t="shared" si="1068"/>
        <v>0</v>
      </c>
      <c r="AR527" s="47"/>
    </row>
    <row r="528" spans="2:44" ht="36" customHeight="1">
      <c r="B528" s="35" t="s">
        <v>1115</v>
      </c>
      <c r="C528" s="647" t="s">
        <v>1144</v>
      </c>
      <c r="D528" s="92"/>
      <c r="E528" s="93" t="s">
        <v>1146</v>
      </c>
      <c r="F528" s="93" t="s">
        <v>1147</v>
      </c>
      <c r="G528" s="406">
        <v>2024</v>
      </c>
      <c r="H528" s="406">
        <v>2030</v>
      </c>
      <c r="I528" s="83">
        <v>808170</v>
      </c>
      <c r="J528" s="83">
        <v>0</v>
      </c>
      <c r="K528" s="264">
        <f t="shared" ref="K528:K529" si="1113">SUM(I528:J528)</f>
        <v>808170</v>
      </c>
      <c r="L528" s="83">
        <v>808170</v>
      </c>
      <c r="M528" s="83">
        <v>0</v>
      </c>
      <c r="N528" s="264">
        <f t="shared" ref="N528:N529" si="1114">SUM(L528:M528)</f>
        <v>808170</v>
      </c>
      <c r="O528" s="83">
        <v>808170</v>
      </c>
      <c r="P528" s="83">
        <v>0</v>
      </c>
      <c r="Q528" s="264">
        <f t="shared" ref="Q528:Q529" si="1115">SUM(O528:P528)</f>
        <v>808170</v>
      </c>
      <c r="R528" s="83">
        <v>808170</v>
      </c>
      <c r="S528" s="83">
        <v>0</v>
      </c>
      <c r="T528" s="264">
        <f t="shared" ref="T528:T529" si="1116">SUM(R528:S528)</f>
        <v>808170</v>
      </c>
      <c r="U528" s="83">
        <v>808170</v>
      </c>
      <c r="V528" s="83">
        <v>0</v>
      </c>
      <c r="W528" s="264">
        <f t="shared" ref="W528:W529" si="1117">SUM(U528:V528)</f>
        <v>808170</v>
      </c>
      <c r="X528" s="83">
        <v>808170</v>
      </c>
      <c r="Y528" s="83">
        <v>0</v>
      </c>
      <c r="Z528" s="264">
        <f t="shared" ref="Z528:Z529" si="1118">SUM(X528:Y528)</f>
        <v>808170</v>
      </c>
      <c r="AA528" s="83">
        <v>808170</v>
      </c>
      <c r="AB528" s="83">
        <v>0</v>
      </c>
      <c r="AC528" s="264">
        <f t="shared" ref="AC528:AC529" si="1119">SUM(AA528:AB528)</f>
        <v>808170</v>
      </c>
      <c r="AD528" s="83">
        <f t="shared" si="1111"/>
        <v>5657190</v>
      </c>
      <c r="AE528" s="83">
        <f t="shared" si="1112"/>
        <v>0</v>
      </c>
      <c r="AF528" s="264">
        <f t="shared" ref="AF528:AF529" si="1120">AD528+AE528</f>
        <v>5657190</v>
      </c>
      <c r="AG528" s="83">
        <f>808170*3</f>
        <v>2424510</v>
      </c>
      <c r="AH528" s="83">
        <v>0</v>
      </c>
      <c r="AI528" s="264">
        <f t="shared" ref="AI528:AI529" si="1121">SUM(AG528:AH528)</f>
        <v>2424510</v>
      </c>
      <c r="AJ528" s="83">
        <v>0</v>
      </c>
      <c r="AK528" s="83">
        <v>0</v>
      </c>
      <c r="AL528" s="83"/>
      <c r="AM528" s="264">
        <f t="shared" si="1066"/>
        <v>0</v>
      </c>
      <c r="AN528" s="83">
        <f>808170*4</f>
        <v>3232680</v>
      </c>
      <c r="AO528" s="83">
        <v>0</v>
      </c>
      <c r="AP528" s="264">
        <f t="shared" ref="AP528:AP529" si="1122">SUM(AN528:AO528)</f>
        <v>3232680</v>
      </c>
      <c r="AQ528" s="578">
        <f t="shared" si="1068"/>
        <v>0</v>
      </c>
      <c r="AR528" s="47"/>
    </row>
    <row r="529" spans="2:44" ht="36" customHeight="1" thickBot="1">
      <c r="B529" s="35" t="s">
        <v>1116</v>
      </c>
      <c r="C529" s="644" t="s">
        <v>1145</v>
      </c>
      <c r="D529" s="92"/>
      <c r="E529" s="93" t="s">
        <v>1146</v>
      </c>
      <c r="F529" s="93" t="s">
        <v>1147</v>
      </c>
      <c r="G529" s="406">
        <v>2024</v>
      </c>
      <c r="H529" s="406">
        <v>2030</v>
      </c>
      <c r="I529" s="83">
        <v>271678</v>
      </c>
      <c r="J529" s="83">
        <v>0</v>
      </c>
      <c r="K529" s="264">
        <f t="shared" si="1113"/>
        <v>271678</v>
      </c>
      <c r="L529" s="83">
        <v>271678</v>
      </c>
      <c r="M529" s="83">
        <v>0</v>
      </c>
      <c r="N529" s="264">
        <f t="shared" si="1114"/>
        <v>271678</v>
      </c>
      <c r="O529" s="83">
        <v>271678</v>
      </c>
      <c r="P529" s="83">
        <v>0</v>
      </c>
      <c r="Q529" s="264">
        <f t="shared" si="1115"/>
        <v>271678</v>
      </c>
      <c r="R529" s="83">
        <v>271678</v>
      </c>
      <c r="S529" s="83">
        <v>0</v>
      </c>
      <c r="T529" s="264">
        <f t="shared" si="1116"/>
        <v>271678</v>
      </c>
      <c r="U529" s="83">
        <v>271678</v>
      </c>
      <c r="V529" s="83">
        <v>0</v>
      </c>
      <c r="W529" s="83">
        <f t="shared" si="1117"/>
        <v>271678</v>
      </c>
      <c r="X529" s="83">
        <v>271678</v>
      </c>
      <c r="Y529" s="83">
        <v>0</v>
      </c>
      <c r="Z529" s="83">
        <f t="shared" si="1118"/>
        <v>271678</v>
      </c>
      <c r="AA529" s="83">
        <v>271678</v>
      </c>
      <c r="AB529" s="83">
        <v>0</v>
      </c>
      <c r="AC529" s="83">
        <f t="shared" si="1119"/>
        <v>271678</v>
      </c>
      <c r="AD529" s="83">
        <f t="shared" si="1111"/>
        <v>1901746</v>
      </c>
      <c r="AE529" s="83">
        <f t="shared" si="1112"/>
        <v>0</v>
      </c>
      <c r="AF529" s="264">
        <f t="shared" si="1120"/>
        <v>1901746</v>
      </c>
      <c r="AG529" s="83">
        <f>271678*3</f>
        <v>815034</v>
      </c>
      <c r="AH529" s="83">
        <v>0</v>
      </c>
      <c r="AI529" s="264">
        <f t="shared" si="1121"/>
        <v>815034</v>
      </c>
      <c r="AJ529" s="83">
        <v>0</v>
      </c>
      <c r="AK529" s="83">
        <v>0</v>
      </c>
      <c r="AL529" s="83"/>
      <c r="AM529" s="264">
        <f t="shared" si="1066"/>
        <v>0</v>
      </c>
      <c r="AN529" s="83">
        <f>271678*4</f>
        <v>1086712</v>
      </c>
      <c r="AO529" s="83">
        <v>0</v>
      </c>
      <c r="AP529" s="264">
        <f t="shared" si="1122"/>
        <v>1086712</v>
      </c>
      <c r="AQ529" s="578">
        <f t="shared" si="1068"/>
        <v>0</v>
      </c>
      <c r="AR529" s="47"/>
    </row>
    <row r="530" spans="2:44" ht="36" customHeight="1" thickBot="1">
      <c r="B530" s="210" t="s">
        <v>1117</v>
      </c>
      <c r="C530" s="571" t="s">
        <v>1148</v>
      </c>
      <c r="D530" s="217"/>
      <c r="E530" s="653" t="s">
        <v>69</v>
      </c>
      <c r="F530" s="654" t="s">
        <v>95</v>
      </c>
      <c r="G530" s="570">
        <v>2024</v>
      </c>
      <c r="H530" s="570">
        <v>2030</v>
      </c>
      <c r="I530" s="197">
        <f>SUM(I531:I534)</f>
        <v>2886710</v>
      </c>
      <c r="J530" s="197">
        <f>SUM(J531:J534)</f>
        <v>0</v>
      </c>
      <c r="K530" s="197">
        <f>I530+J530</f>
        <v>2886710</v>
      </c>
      <c r="L530" s="197">
        <f>SUM(L531:L534)</f>
        <v>3694880</v>
      </c>
      <c r="M530" s="197">
        <f>SUM(M531:M534)</f>
        <v>233820000</v>
      </c>
      <c r="N530" s="197">
        <f>L530+M530</f>
        <v>237514880</v>
      </c>
      <c r="O530" s="197">
        <f>SUM(O531:O534)</f>
        <v>3694880</v>
      </c>
      <c r="P530" s="197">
        <f>SUM(P531:P534)</f>
        <v>0</v>
      </c>
      <c r="Q530" s="197">
        <f>O530+P530</f>
        <v>3694880</v>
      </c>
      <c r="R530" s="197">
        <f t="shared" ref="R530:S530" si="1123">SUM(R531:R534)</f>
        <v>3694880</v>
      </c>
      <c r="S530" s="197">
        <f t="shared" si="1123"/>
        <v>0</v>
      </c>
      <c r="T530" s="197">
        <f>R530+S530</f>
        <v>3694880</v>
      </c>
      <c r="U530" s="197">
        <f>SUM(U531:U534)</f>
        <v>3694880</v>
      </c>
      <c r="V530" s="197">
        <f>SUM(V531:V534)</f>
        <v>0</v>
      </c>
      <c r="W530" s="197">
        <f>U530+V530</f>
        <v>3694880</v>
      </c>
      <c r="X530" s="197">
        <f t="shared" ref="X530:Y530" si="1124">SUM(X531:X534)</f>
        <v>3694880</v>
      </c>
      <c r="Y530" s="197">
        <f t="shared" si="1124"/>
        <v>0</v>
      </c>
      <c r="Z530" s="197">
        <f>SUM(X530:Y530)</f>
        <v>3694880</v>
      </c>
      <c r="AA530" s="197">
        <f>SUM(AA531:AA534)</f>
        <v>3694880</v>
      </c>
      <c r="AB530" s="197">
        <f>SUM(AB531:AB534)</f>
        <v>0</v>
      </c>
      <c r="AC530" s="197">
        <f>SUM(AA530:AB530)</f>
        <v>3694880</v>
      </c>
      <c r="AD530" s="197">
        <f t="shared" ref="AD530:AD534" si="1125">I530+L530+O530+R530+U530+X530+AA530</f>
        <v>25055990</v>
      </c>
      <c r="AE530" s="197">
        <f t="shared" ref="AE530:AE534" si="1126">J530+M530+P530+S530+V530+Y530+AB530</f>
        <v>233820000</v>
      </c>
      <c r="AF530" s="197">
        <f>AD530+AE530</f>
        <v>258875990</v>
      </c>
      <c r="AG530" s="197">
        <f t="shared" ref="AG530:AH530" si="1127">SUM(AG531:AG534)</f>
        <v>4876470</v>
      </c>
      <c r="AH530" s="197">
        <f t="shared" si="1127"/>
        <v>233820000</v>
      </c>
      <c r="AI530" s="197">
        <f>AG530+AH530</f>
        <v>238696470</v>
      </c>
      <c r="AJ530" s="197">
        <f t="shared" ref="AJ530:AK530" si="1128">SUM(AJ531:AJ534)</f>
        <v>0</v>
      </c>
      <c r="AK530" s="197">
        <f t="shared" si="1128"/>
        <v>0</v>
      </c>
      <c r="AL530" s="197"/>
      <c r="AM530" s="197">
        <f t="shared" ref="AM530:AM538" si="1129">AJ530+AK530</f>
        <v>0</v>
      </c>
      <c r="AN530" s="197">
        <f t="shared" ref="AN530:AO530" si="1130">SUM(AN531:AN534)</f>
        <v>7579520</v>
      </c>
      <c r="AO530" s="197">
        <f t="shared" si="1130"/>
        <v>0</v>
      </c>
      <c r="AP530" s="197">
        <f>AN530+AO530</f>
        <v>7579520</v>
      </c>
      <c r="AQ530" s="577">
        <f t="shared" ref="AQ530:AQ538" si="1131">SUM(AP530+AM530+AI530)-AF530</f>
        <v>-12600000</v>
      </c>
      <c r="AR530" s="47"/>
    </row>
    <row r="531" spans="2:44" ht="36" customHeight="1">
      <c r="B531" s="35" t="s">
        <v>1122</v>
      </c>
      <c r="C531" s="648" t="s">
        <v>1149</v>
      </c>
      <c r="D531" s="92"/>
      <c r="E531" s="568" t="s">
        <v>69</v>
      </c>
      <c r="F531" s="651" t="s">
        <v>95</v>
      </c>
      <c r="G531" s="655">
        <v>2025</v>
      </c>
      <c r="H531" s="655">
        <v>2030</v>
      </c>
      <c r="I531" s="83">
        <v>0</v>
      </c>
      <c r="J531" s="83">
        <v>0</v>
      </c>
      <c r="K531" s="264">
        <f t="shared" ref="K531:K534" si="1132">SUM(I531:J531)</f>
        <v>0</v>
      </c>
      <c r="L531" s="83">
        <v>808170</v>
      </c>
      <c r="M531" s="83">
        <v>0</v>
      </c>
      <c r="N531" s="264">
        <f t="shared" ref="N531:N534" si="1133">SUM(L531:M531)</f>
        <v>808170</v>
      </c>
      <c r="O531" s="83">
        <v>808170</v>
      </c>
      <c r="P531" s="83">
        <v>0</v>
      </c>
      <c r="Q531" s="264">
        <f t="shared" ref="Q531:Q534" si="1134">SUM(O531:P531)</f>
        <v>808170</v>
      </c>
      <c r="R531" s="83">
        <v>808170</v>
      </c>
      <c r="S531" s="83">
        <v>0</v>
      </c>
      <c r="T531" s="264">
        <f t="shared" ref="T531:T534" si="1135">SUM(R531:S531)</f>
        <v>808170</v>
      </c>
      <c r="U531" s="83">
        <v>808170</v>
      </c>
      <c r="V531" s="83">
        <v>0</v>
      </c>
      <c r="W531" s="264">
        <f t="shared" ref="W531:W534" si="1136">SUM(U531:V531)</f>
        <v>808170</v>
      </c>
      <c r="X531" s="83">
        <v>808170</v>
      </c>
      <c r="Y531" s="83">
        <v>0</v>
      </c>
      <c r="Z531" s="264">
        <f t="shared" ref="Z531:Z534" si="1137">SUM(X531:Y531)</f>
        <v>808170</v>
      </c>
      <c r="AA531" s="83">
        <v>808170</v>
      </c>
      <c r="AB531" s="83">
        <v>0</v>
      </c>
      <c r="AC531" s="264">
        <f t="shared" ref="AC531:AC534" si="1138">SUM(AA531:AB531)</f>
        <v>808170</v>
      </c>
      <c r="AD531" s="83">
        <f t="shared" si="1125"/>
        <v>4849020</v>
      </c>
      <c r="AE531" s="83">
        <f t="shared" si="1126"/>
        <v>0</v>
      </c>
      <c r="AF531" s="264">
        <f t="shared" ref="AF531:AF534" si="1139">AD531+AE531</f>
        <v>4849020</v>
      </c>
      <c r="AG531" s="83">
        <f>808170*2</f>
        <v>1616340</v>
      </c>
      <c r="AH531" s="83">
        <v>0</v>
      </c>
      <c r="AI531" s="264">
        <f t="shared" ref="AI531:AI534" si="1140">SUM(AG531:AH531)</f>
        <v>1616340</v>
      </c>
      <c r="AJ531" s="83">
        <v>0</v>
      </c>
      <c r="AK531" s="83">
        <v>0</v>
      </c>
      <c r="AL531" s="83"/>
      <c r="AM531" s="264">
        <f t="shared" si="1129"/>
        <v>0</v>
      </c>
      <c r="AN531" s="83">
        <f>808170*4</f>
        <v>3232680</v>
      </c>
      <c r="AO531" s="83">
        <v>0</v>
      </c>
      <c r="AP531" s="264">
        <f t="shared" ref="AP531:AP534" si="1141">SUM(AN531:AO531)</f>
        <v>3232680</v>
      </c>
      <c r="AQ531" s="578">
        <f t="shared" si="1131"/>
        <v>0</v>
      </c>
      <c r="AR531" s="47"/>
    </row>
    <row r="532" spans="2:44" ht="36" customHeight="1">
      <c r="B532" s="35" t="s">
        <v>1123</v>
      </c>
      <c r="C532" s="649" t="s">
        <v>1150</v>
      </c>
      <c r="D532" s="92"/>
      <c r="E532" s="552" t="s">
        <v>69</v>
      </c>
      <c r="F532" s="652" t="s">
        <v>95</v>
      </c>
      <c r="G532" s="626">
        <v>2024</v>
      </c>
      <c r="H532" s="626">
        <v>2030</v>
      </c>
      <c r="I532" s="83">
        <v>1086710</v>
      </c>
      <c r="J532" s="83">
        <v>0</v>
      </c>
      <c r="K532" s="264">
        <f t="shared" si="1132"/>
        <v>1086710</v>
      </c>
      <c r="L532" s="83">
        <v>1086710</v>
      </c>
      <c r="M532" s="83">
        <v>0</v>
      </c>
      <c r="N532" s="264">
        <f t="shared" si="1133"/>
        <v>1086710</v>
      </c>
      <c r="O532" s="83">
        <v>1086710</v>
      </c>
      <c r="P532" s="83">
        <v>0</v>
      </c>
      <c r="Q532" s="264">
        <f t="shared" si="1134"/>
        <v>1086710</v>
      </c>
      <c r="R532" s="83">
        <v>1086710</v>
      </c>
      <c r="S532" s="83">
        <v>0</v>
      </c>
      <c r="T532" s="264">
        <f t="shared" si="1135"/>
        <v>1086710</v>
      </c>
      <c r="U532" s="83">
        <v>1086710</v>
      </c>
      <c r="V532" s="83">
        <v>0</v>
      </c>
      <c r="W532" s="264">
        <f t="shared" si="1136"/>
        <v>1086710</v>
      </c>
      <c r="X532" s="83">
        <v>1086710</v>
      </c>
      <c r="Y532" s="83">
        <v>0</v>
      </c>
      <c r="Z532" s="264">
        <f t="shared" si="1137"/>
        <v>1086710</v>
      </c>
      <c r="AA532" s="83">
        <v>1086710</v>
      </c>
      <c r="AB532" s="83">
        <v>0</v>
      </c>
      <c r="AC532" s="264">
        <f t="shared" si="1138"/>
        <v>1086710</v>
      </c>
      <c r="AD532" s="83">
        <f t="shared" si="1125"/>
        <v>7606970</v>
      </c>
      <c r="AE532" s="83">
        <f t="shared" si="1126"/>
        <v>0</v>
      </c>
      <c r="AF532" s="264">
        <f t="shared" si="1139"/>
        <v>7606970</v>
      </c>
      <c r="AG532" s="83">
        <f>1086710*3</f>
        <v>3260130</v>
      </c>
      <c r="AH532" s="83">
        <v>0</v>
      </c>
      <c r="AI532" s="264">
        <f t="shared" si="1140"/>
        <v>3260130</v>
      </c>
      <c r="AJ532" s="83">
        <v>0</v>
      </c>
      <c r="AK532" s="83">
        <v>0</v>
      </c>
      <c r="AL532" s="83"/>
      <c r="AM532" s="264">
        <f t="shared" si="1129"/>
        <v>0</v>
      </c>
      <c r="AN532" s="83">
        <f>1086710*4</f>
        <v>4346840</v>
      </c>
      <c r="AO532" s="83">
        <v>0</v>
      </c>
      <c r="AP532" s="264">
        <f t="shared" si="1141"/>
        <v>4346840</v>
      </c>
      <c r="AQ532" s="578">
        <f t="shared" si="1131"/>
        <v>0</v>
      </c>
      <c r="AR532" s="47"/>
    </row>
    <row r="533" spans="2:44" ht="36" customHeight="1">
      <c r="B533" s="35" t="s">
        <v>1124</v>
      </c>
      <c r="C533" s="649" t="s">
        <v>1151</v>
      </c>
      <c r="D533" s="92"/>
      <c r="E533" s="552" t="s">
        <v>69</v>
      </c>
      <c r="F533" s="652" t="s">
        <v>95</v>
      </c>
      <c r="G533" s="626">
        <v>2024</v>
      </c>
      <c r="H533" s="626">
        <v>2030</v>
      </c>
      <c r="I533" s="83">
        <f>40*5*9000</f>
        <v>1800000</v>
      </c>
      <c r="J533" s="83">
        <v>0</v>
      </c>
      <c r="K533" s="264">
        <f t="shared" si="1132"/>
        <v>1800000</v>
      </c>
      <c r="L533" s="83">
        <v>1800000</v>
      </c>
      <c r="M533" s="83">
        <v>0</v>
      </c>
      <c r="N533" s="264">
        <f t="shared" si="1133"/>
        <v>1800000</v>
      </c>
      <c r="O533" s="83">
        <v>1800000</v>
      </c>
      <c r="P533" s="83">
        <v>0</v>
      </c>
      <c r="Q533" s="264">
        <f t="shared" si="1134"/>
        <v>1800000</v>
      </c>
      <c r="R533" s="83">
        <v>1800000</v>
      </c>
      <c r="S533" s="83">
        <v>0</v>
      </c>
      <c r="T533" s="264">
        <f t="shared" si="1135"/>
        <v>1800000</v>
      </c>
      <c r="U533" s="83">
        <v>1800000</v>
      </c>
      <c r="V533" s="83">
        <v>0</v>
      </c>
      <c r="W533" s="264">
        <f t="shared" si="1136"/>
        <v>1800000</v>
      </c>
      <c r="X533" s="83">
        <v>1800000</v>
      </c>
      <c r="Y533" s="83">
        <v>0</v>
      </c>
      <c r="Z533" s="264">
        <f t="shared" si="1137"/>
        <v>1800000</v>
      </c>
      <c r="AA533" s="83">
        <v>1800000</v>
      </c>
      <c r="AB533" s="83">
        <v>0</v>
      </c>
      <c r="AC533" s="264">
        <f t="shared" si="1138"/>
        <v>1800000</v>
      </c>
      <c r="AD533" s="83">
        <f t="shared" si="1125"/>
        <v>12600000</v>
      </c>
      <c r="AE533" s="83">
        <f t="shared" si="1126"/>
        <v>0</v>
      </c>
      <c r="AF533" s="264">
        <f t="shared" si="1139"/>
        <v>12600000</v>
      </c>
      <c r="AG533" s="83">
        <v>0</v>
      </c>
      <c r="AH533" s="83">
        <v>0</v>
      </c>
      <c r="AI533" s="264">
        <f t="shared" si="1140"/>
        <v>0</v>
      </c>
      <c r="AJ533" s="83">
        <v>0</v>
      </c>
      <c r="AK533" s="83">
        <v>0</v>
      </c>
      <c r="AL533" s="83"/>
      <c r="AM533" s="264">
        <f t="shared" si="1129"/>
        <v>0</v>
      </c>
      <c r="AN533" s="83">
        <v>0</v>
      </c>
      <c r="AO533" s="83">
        <v>0</v>
      </c>
      <c r="AP533" s="264">
        <f t="shared" si="1141"/>
        <v>0</v>
      </c>
      <c r="AQ533" s="578">
        <f t="shared" si="1131"/>
        <v>-12600000</v>
      </c>
      <c r="AR533" s="47"/>
    </row>
    <row r="534" spans="2:44" ht="36" customHeight="1">
      <c r="B534" s="35" t="s">
        <v>1125</v>
      </c>
      <c r="C534" s="650" t="s">
        <v>1152</v>
      </c>
      <c r="D534" s="92"/>
      <c r="E534" s="563" t="s">
        <v>69</v>
      </c>
      <c r="F534" s="645" t="s">
        <v>95</v>
      </c>
      <c r="G534" s="627">
        <v>2025</v>
      </c>
      <c r="H534" s="627">
        <v>2025</v>
      </c>
      <c r="I534" s="83">
        <v>0</v>
      </c>
      <c r="J534" s="83">
        <v>0</v>
      </c>
      <c r="K534" s="264">
        <f t="shared" si="1132"/>
        <v>0</v>
      </c>
      <c r="L534" s="83">
        <v>0</v>
      </c>
      <c r="M534" s="83">
        <v>233820000</v>
      </c>
      <c r="N534" s="264">
        <f t="shared" si="1133"/>
        <v>233820000</v>
      </c>
      <c r="O534" s="83">
        <v>0</v>
      </c>
      <c r="P534" s="83">
        <v>0</v>
      </c>
      <c r="Q534" s="264">
        <f t="shared" si="1134"/>
        <v>0</v>
      </c>
      <c r="R534" s="83">
        <v>0</v>
      </c>
      <c r="S534" s="83">
        <v>0</v>
      </c>
      <c r="T534" s="264">
        <f t="shared" si="1135"/>
        <v>0</v>
      </c>
      <c r="U534" s="83">
        <v>0</v>
      </c>
      <c r="V534" s="83">
        <v>0</v>
      </c>
      <c r="W534" s="264">
        <f t="shared" si="1136"/>
        <v>0</v>
      </c>
      <c r="X534" s="83">
        <v>0</v>
      </c>
      <c r="Y534" s="83">
        <v>0</v>
      </c>
      <c r="Z534" s="264">
        <f t="shared" si="1137"/>
        <v>0</v>
      </c>
      <c r="AA534" s="83">
        <v>0</v>
      </c>
      <c r="AB534" s="83">
        <v>0</v>
      </c>
      <c r="AC534" s="264">
        <f t="shared" si="1138"/>
        <v>0</v>
      </c>
      <c r="AD534" s="83">
        <f t="shared" si="1125"/>
        <v>0</v>
      </c>
      <c r="AE534" s="83">
        <f t="shared" si="1126"/>
        <v>233820000</v>
      </c>
      <c r="AF534" s="264">
        <f t="shared" si="1139"/>
        <v>233820000</v>
      </c>
      <c r="AG534" s="83">
        <v>0</v>
      </c>
      <c r="AH534" s="83">
        <v>233820000</v>
      </c>
      <c r="AI534" s="264">
        <f t="shared" si="1140"/>
        <v>233820000</v>
      </c>
      <c r="AJ534" s="83">
        <v>0</v>
      </c>
      <c r="AK534" s="83">
        <v>0</v>
      </c>
      <c r="AL534" s="83"/>
      <c r="AM534" s="264">
        <f t="shared" si="1129"/>
        <v>0</v>
      </c>
      <c r="AN534" s="83">
        <v>0</v>
      </c>
      <c r="AO534" s="83">
        <v>0</v>
      </c>
      <c r="AP534" s="264">
        <f t="shared" si="1141"/>
        <v>0</v>
      </c>
      <c r="AQ534" s="578">
        <f t="shared" si="1131"/>
        <v>0</v>
      </c>
      <c r="AR534" s="47"/>
    </row>
    <row r="535" spans="2:44" ht="36" customHeight="1" thickBot="1">
      <c r="B535" s="210" t="s">
        <v>1118</v>
      </c>
      <c r="C535" s="571" t="s">
        <v>1153</v>
      </c>
      <c r="D535" s="217"/>
      <c r="E535" s="600" t="s">
        <v>1157</v>
      </c>
      <c r="F535" s="570"/>
      <c r="G535" s="570">
        <v>2024</v>
      </c>
      <c r="H535" s="570">
        <v>2030</v>
      </c>
      <c r="I535" s="197">
        <f>SUM(I536:I538)</f>
        <v>1566710</v>
      </c>
      <c r="J535" s="197">
        <f>SUM(J536:J538)</f>
        <v>0</v>
      </c>
      <c r="K535" s="197">
        <f>I535+J535</f>
        <v>1566710</v>
      </c>
      <c r="L535" s="197">
        <f>SUM(L536:L538)</f>
        <v>1566710</v>
      </c>
      <c r="M535" s="197">
        <f>SUM(M536:M538)</f>
        <v>6000000</v>
      </c>
      <c r="N535" s="197">
        <f>L535+M535</f>
        <v>7566710</v>
      </c>
      <c r="O535" s="197">
        <f>SUM(O536:O538)</f>
        <v>1566710</v>
      </c>
      <c r="P535" s="197">
        <f>SUM(P536:P538)</f>
        <v>0</v>
      </c>
      <c r="Q535" s="197">
        <f>O535+P535</f>
        <v>1566710</v>
      </c>
      <c r="R535" s="197">
        <f>SUM(R536:R538)</f>
        <v>1566710</v>
      </c>
      <c r="S535" s="197">
        <f>SUM(S536:S538)</f>
        <v>0</v>
      </c>
      <c r="T535" s="197">
        <f>R535+S535</f>
        <v>1566710</v>
      </c>
      <c r="U535" s="197">
        <f>SUM(U536:U538)</f>
        <v>1566710</v>
      </c>
      <c r="V535" s="197">
        <f>SUM(V536:V538)</f>
        <v>0</v>
      </c>
      <c r="W535" s="197">
        <f>U535+V535</f>
        <v>1566710</v>
      </c>
      <c r="X535" s="197">
        <f t="shared" ref="X535:Y535" si="1142">SUM(X536:X538)</f>
        <v>1566710</v>
      </c>
      <c r="Y535" s="197">
        <f t="shared" si="1142"/>
        <v>0</v>
      </c>
      <c r="Z535" s="197">
        <f>SUM(Z536:Z538)</f>
        <v>1566710</v>
      </c>
      <c r="AA535" s="197">
        <f>SUM(AA536:AA538)</f>
        <v>1566710</v>
      </c>
      <c r="AB535" s="197">
        <f>SUM(AB536:AB538)</f>
        <v>0</v>
      </c>
      <c r="AC535" s="197">
        <f>SUM(AA535:AB535)</f>
        <v>1566710</v>
      </c>
      <c r="AD535" s="197">
        <f t="shared" ref="AD535:AD538" si="1143">I535+L535+O535+R535+U535+X535+AA535</f>
        <v>10966970</v>
      </c>
      <c r="AE535" s="197">
        <f t="shared" ref="AE535:AE538" si="1144">J535+M535+P535+S535+V535+Y535+AB535</f>
        <v>6000000</v>
      </c>
      <c r="AF535" s="197">
        <f>AD535+AE535</f>
        <v>16966970</v>
      </c>
      <c r="AG535" s="197">
        <f t="shared" ref="AG535:AH535" si="1145">SUM(AG536:AG538)</f>
        <v>4220130</v>
      </c>
      <c r="AH535" s="197">
        <f t="shared" si="1145"/>
        <v>0</v>
      </c>
      <c r="AI535" s="197">
        <f>AG535+AH535</f>
        <v>4220130</v>
      </c>
      <c r="AJ535" s="197">
        <f>SUM(AJ536:AJ538)</f>
        <v>0</v>
      </c>
      <c r="AK535" s="197">
        <f>SUM(AK536:AK538)</f>
        <v>0</v>
      </c>
      <c r="AL535" s="197"/>
      <c r="AM535" s="197">
        <f t="shared" si="1129"/>
        <v>0</v>
      </c>
      <c r="AN535" s="197">
        <f>SUM(AN536:AN538)</f>
        <v>6266840</v>
      </c>
      <c r="AO535" s="197">
        <f>SUM(AO536:AO538)</f>
        <v>0</v>
      </c>
      <c r="AP535" s="197">
        <f>AN535+AO535</f>
        <v>6266840</v>
      </c>
      <c r="AQ535" s="577">
        <f t="shared" si="1131"/>
        <v>-6480000</v>
      </c>
      <c r="AR535" s="47"/>
    </row>
    <row r="536" spans="2:44" ht="36" customHeight="1">
      <c r="B536" s="35" t="s">
        <v>1119</v>
      </c>
      <c r="C536" s="648" t="s">
        <v>1154</v>
      </c>
      <c r="D536" s="92"/>
      <c r="E536" s="329" t="s">
        <v>1157</v>
      </c>
      <c r="F536" s="93"/>
      <c r="G536" s="406">
        <v>2024</v>
      </c>
      <c r="H536" s="406">
        <v>2030</v>
      </c>
      <c r="I536" s="83">
        <v>1086710</v>
      </c>
      <c r="J536" s="83">
        <v>0</v>
      </c>
      <c r="K536" s="264">
        <f t="shared" ref="K536:K538" si="1146">SUM(I536:J536)</f>
        <v>1086710</v>
      </c>
      <c r="L536" s="83">
        <v>1086710</v>
      </c>
      <c r="M536" s="83">
        <v>0</v>
      </c>
      <c r="N536" s="264">
        <f t="shared" ref="N536:N538" si="1147">SUM(L536:M536)</f>
        <v>1086710</v>
      </c>
      <c r="O536" s="83">
        <v>1086710</v>
      </c>
      <c r="P536" s="83">
        <v>0</v>
      </c>
      <c r="Q536" s="264">
        <f t="shared" ref="Q536:Q538" si="1148">SUM(O536:P536)</f>
        <v>1086710</v>
      </c>
      <c r="R536" s="83">
        <v>1086710</v>
      </c>
      <c r="S536" s="83">
        <v>0</v>
      </c>
      <c r="T536" s="264">
        <f t="shared" ref="T536:T538" si="1149">SUM(R536:S536)</f>
        <v>1086710</v>
      </c>
      <c r="U536" s="83">
        <v>1086710</v>
      </c>
      <c r="V536" s="83">
        <v>0</v>
      </c>
      <c r="W536" s="264">
        <f t="shared" ref="W536:W538" si="1150">SUM(U536:V536)</f>
        <v>1086710</v>
      </c>
      <c r="X536" s="83">
        <v>1086710</v>
      </c>
      <c r="Y536" s="83">
        <v>0</v>
      </c>
      <c r="Z536" s="264">
        <f t="shared" ref="Z536:Z538" si="1151">SUM(X536:Y536)</f>
        <v>1086710</v>
      </c>
      <c r="AA536" s="83">
        <v>1086710</v>
      </c>
      <c r="AB536" s="83">
        <v>0</v>
      </c>
      <c r="AC536" s="264">
        <f t="shared" ref="AC536:AC538" si="1152">SUM(AA536:AB536)</f>
        <v>1086710</v>
      </c>
      <c r="AD536" s="83">
        <f t="shared" si="1143"/>
        <v>7606970</v>
      </c>
      <c r="AE536" s="83">
        <f t="shared" si="1144"/>
        <v>0</v>
      </c>
      <c r="AF536" s="264">
        <f t="shared" ref="AF536:AF538" si="1153">AD536+AE536</f>
        <v>7606970</v>
      </c>
      <c r="AG536" s="83">
        <f>1086710*3</f>
        <v>3260130</v>
      </c>
      <c r="AH536" s="83">
        <v>0</v>
      </c>
      <c r="AI536" s="264">
        <f t="shared" ref="AI536:AI538" si="1154">SUM(AG536:AH536)</f>
        <v>3260130</v>
      </c>
      <c r="AJ536" s="83">
        <v>0</v>
      </c>
      <c r="AK536" s="83">
        <v>0</v>
      </c>
      <c r="AL536" s="83"/>
      <c r="AM536" s="264">
        <f t="shared" si="1129"/>
        <v>0</v>
      </c>
      <c r="AN536" s="83">
        <f>1086710*4</f>
        <v>4346840</v>
      </c>
      <c r="AO536" s="83">
        <v>0</v>
      </c>
      <c r="AP536" s="264">
        <f t="shared" ref="AP536:AP538" si="1155">SUM(AN536:AO536)</f>
        <v>4346840</v>
      </c>
      <c r="AQ536" s="578">
        <f t="shared" si="1131"/>
        <v>0</v>
      </c>
      <c r="AR536" s="47"/>
    </row>
    <row r="537" spans="2:44" ht="36" customHeight="1">
      <c r="B537" s="35" t="s">
        <v>1120</v>
      </c>
      <c r="C537" s="649" t="s">
        <v>1155</v>
      </c>
      <c r="D537" s="92"/>
      <c r="E537" s="330" t="s">
        <v>1157</v>
      </c>
      <c r="F537" s="93"/>
      <c r="G537" s="406">
        <v>2024</v>
      </c>
      <c r="H537" s="406">
        <v>2030</v>
      </c>
      <c r="I537" s="83">
        <v>480000</v>
      </c>
      <c r="J537" s="83">
        <v>0</v>
      </c>
      <c r="K537" s="264">
        <f t="shared" si="1146"/>
        <v>480000</v>
      </c>
      <c r="L537" s="83">
        <v>480000</v>
      </c>
      <c r="M537" s="83">
        <v>0</v>
      </c>
      <c r="N537" s="264">
        <f t="shared" si="1147"/>
        <v>480000</v>
      </c>
      <c r="O537" s="83">
        <v>480000</v>
      </c>
      <c r="P537" s="83">
        <v>0</v>
      </c>
      <c r="Q537" s="264">
        <f t="shared" si="1148"/>
        <v>480000</v>
      </c>
      <c r="R537" s="83">
        <v>480000</v>
      </c>
      <c r="S537" s="83">
        <v>0</v>
      </c>
      <c r="T537" s="264">
        <f t="shared" si="1149"/>
        <v>480000</v>
      </c>
      <c r="U537" s="83">
        <v>480000</v>
      </c>
      <c r="V537" s="83">
        <v>0</v>
      </c>
      <c r="W537" s="264">
        <f t="shared" si="1150"/>
        <v>480000</v>
      </c>
      <c r="X537" s="83">
        <v>480000</v>
      </c>
      <c r="Y537" s="83">
        <v>0</v>
      </c>
      <c r="Z537" s="264">
        <f t="shared" si="1151"/>
        <v>480000</v>
      </c>
      <c r="AA537" s="83">
        <v>480000</v>
      </c>
      <c r="AB537" s="83">
        <v>0</v>
      </c>
      <c r="AC537" s="264">
        <f t="shared" si="1152"/>
        <v>480000</v>
      </c>
      <c r="AD537" s="83">
        <f t="shared" si="1143"/>
        <v>3360000</v>
      </c>
      <c r="AE537" s="83">
        <f t="shared" si="1144"/>
        <v>0</v>
      </c>
      <c r="AF537" s="264">
        <f t="shared" si="1153"/>
        <v>3360000</v>
      </c>
      <c r="AG537" s="83">
        <f>480000*2</f>
        <v>960000</v>
      </c>
      <c r="AH537" s="83">
        <v>0</v>
      </c>
      <c r="AI537" s="264">
        <f t="shared" si="1154"/>
        <v>960000</v>
      </c>
      <c r="AJ537" s="83">
        <v>0</v>
      </c>
      <c r="AK537" s="83">
        <v>0</v>
      </c>
      <c r="AL537" s="83"/>
      <c r="AM537" s="264">
        <f t="shared" si="1129"/>
        <v>0</v>
      </c>
      <c r="AN537" s="83">
        <f>480000*4</f>
        <v>1920000</v>
      </c>
      <c r="AO537" s="83">
        <v>0</v>
      </c>
      <c r="AP537" s="264">
        <f t="shared" si="1155"/>
        <v>1920000</v>
      </c>
      <c r="AQ537" s="578">
        <f t="shared" si="1131"/>
        <v>-480000</v>
      </c>
      <c r="AR537" s="47"/>
    </row>
    <row r="538" spans="2:44" ht="36" customHeight="1" thickBot="1">
      <c r="B538" s="35" t="s">
        <v>1121</v>
      </c>
      <c r="C538" s="656" t="s">
        <v>1156</v>
      </c>
      <c r="D538" s="92"/>
      <c r="E538" s="434" t="s">
        <v>1157</v>
      </c>
      <c r="F538" s="93"/>
      <c r="G538" s="406">
        <v>2025</v>
      </c>
      <c r="H538" s="406">
        <v>2025</v>
      </c>
      <c r="I538" s="83">
        <v>0</v>
      </c>
      <c r="J538" s="83">
        <v>0</v>
      </c>
      <c r="K538" s="264">
        <f t="shared" si="1146"/>
        <v>0</v>
      </c>
      <c r="L538" s="83">
        <v>0</v>
      </c>
      <c r="M538" s="83">
        <v>6000000</v>
      </c>
      <c r="N538" s="264">
        <f t="shared" si="1147"/>
        <v>6000000</v>
      </c>
      <c r="O538" s="83">
        <v>0</v>
      </c>
      <c r="P538" s="83">
        <v>0</v>
      </c>
      <c r="Q538" s="264">
        <f t="shared" si="1148"/>
        <v>0</v>
      </c>
      <c r="R538" s="83">
        <v>0</v>
      </c>
      <c r="S538" s="83">
        <v>0</v>
      </c>
      <c r="T538" s="264">
        <f t="shared" si="1149"/>
        <v>0</v>
      </c>
      <c r="U538" s="83">
        <v>0</v>
      </c>
      <c r="V538" s="83">
        <v>0</v>
      </c>
      <c r="W538" s="264">
        <f t="shared" si="1150"/>
        <v>0</v>
      </c>
      <c r="X538" s="83">
        <v>0</v>
      </c>
      <c r="Y538" s="83">
        <v>0</v>
      </c>
      <c r="Z538" s="264">
        <f t="shared" si="1151"/>
        <v>0</v>
      </c>
      <c r="AA538" s="83">
        <v>0</v>
      </c>
      <c r="AB538" s="83">
        <v>0</v>
      </c>
      <c r="AC538" s="264">
        <f t="shared" si="1152"/>
        <v>0</v>
      </c>
      <c r="AD538" s="83">
        <f t="shared" si="1143"/>
        <v>0</v>
      </c>
      <c r="AE538" s="83">
        <f t="shared" si="1144"/>
        <v>6000000</v>
      </c>
      <c r="AF538" s="264">
        <f t="shared" si="1153"/>
        <v>6000000</v>
      </c>
      <c r="AG538" s="83">
        <v>0</v>
      </c>
      <c r="AH538" s="83">
        <v>0</v>
      </c>
      <c r="AI538" s="264">
        <f t="shared" si="1154"/>
        <v>0</v>
      </c>
      <c r="AJ538" s="83">
        <v>0</v>
      </c>
      <c r="AK538" s="83">
        <v>0</v>
      </c>
      <c r="AL538" s="83"/>
      <c r="AM538" s="264">
        <f t="shared" si="1129"/>
        <v>0</v>
      </c>
      <c r="AN538" s="83">
        <v>0</v>
      </c>
      <c r="AO538" s="83">
        <v>0</v>
      </c>
      <c r="AP538" s="264">
        <f t="shared" si="1155"/>
        <v>0</v>
      </c>
      <c r="AQ538" s="578">
        <f t="shared" si="1131"/>
        <v>-6000000</v>
      </c>
      <c r="AR538" s="47"/>
    </row>
    <row r="539" spans="2:44" ht="36" customHeight="1">
      <c r="B539" s="206"/>
      <c r="C539" s="237" t="s">
        <v>1591</v>
      </c>
      <c r="D539" s="635"/>
      <c r="E539" s="616"/>
      <c r="F539" s="616"/>
      <c r="G539" s="616"/>
      <c r="H539" s="616"/>
      <c r="I539" s="484">
        <f>SUM(I482,I486,I490,I494,I497,I501,I504,I507,I512,I517,I524,I527,I530,I535)</f>
        <v>19113048</v>
      </c>
      <c r="J539" s="484">
        <f t="shared" ref="J539:AR539" si="1156">SUM(J482,J486,J490,J494,J497,J501,J504,J507,J512,J517,J524,J527,J530,J535)</f>
        <v>115875000</v>
      </c>
      <c r="K539" s="484">
        <f t="shared" si="1156"/>
        <v>134988048</v>
      </c>
      <c r="L539" s="484">
        <f t="shared" si="1156"/>
        <v>44054683</v>
      </c>
      <c r="M539" s="484">
        <f t="shared" si="1156"/>
        <v>432720000</v>
      </c>
      <c r="N539" s="484">
        <f t="shared" si="1156"/>
        <v>476774683</v>
      </c>
      <c r="O539" s="484">
        <f t="shared" si="1156"/>
        <v>23467973</v>
      </c>
      <c r="P539" s="484">
        <f t="shared" si="1156"/>
        <v>220000000</v>
      </c>
      <c r="Q539" s="484">
        <f t="shared" si="1156"/>
        <v>243467973</v>
      </c>
      <c r="R539" s="484">
        <f t="shared" si="1156"/>
        <v>21911328</v>
      </c>
      <c r="S539" s="484">
        <f t="shared" si="1156"/>
        <v>0</v>
      </c>
      <c r="T539" s="484">
        <f t="shared" si="1156"/>
        <v>21911328</v>
      </c>
      <c r="U539" s="484">
        <f t="shared" si="1156"/>
        <v>31429378</v>
      </c>
      <c r="V539" s="484">
        <f t="shared" si="1156"/>
        <v>0</v>
      </c>
      <c r="W539" s="484">
        <f t="shared" si="1156"/>
        <v>31429378</v>
      </c>
      <c r="X539" s="484">
        <f t="shared" si="1156"/>
        <v>20114988</v>
      </c>
      <c r="Y539" s="484">
        <f t="shared" si="1156"/>
        <v>0</v>
      </c>
      <c r="Z539" s="484">
        <f t="shared" si="1156"/>
        <v>20114988</v>
      </c>
      <c r="AA539" s="484">
        <f t="shared" si="1156"/>
        <v>20923158</v>
      </c>
      <c r="AB539" s="484">
        <f t="shared" si="1156"/>
        <v>0</v>
      </c>
      <c r="AC539" s="484">
        <f t="shared" si="1156"/>
        <v>20923158</v>
      </c>
      <c r="AD539" s="484">
        <f t="shared" si="1156"/>
        <v>181014556</v>
      </c>
      <c r="AE539" s="484">
        <f t="shared" si="1156"/>
        <v>768595000</v>
      </c>
      <c r="AF539" s="484">
        <f t="shared" si="1156"/>
        <v>949609556</v>
      </c>
      <c r="AG539" s="484">
        <f t="shared" si="1156"/>
        <v>54447534</v>
      </c>
      <c r="AH539" s="484">
        <f t="shared" si="1156"/>
        <v>731595000</v>
      </c>
      <c r="AI539" s="484">
        <f t="shared" si="1156"/>
        <v>786042534</v>
      </c>
      <c r="AJ539" s="484">
        <f t="shared" si="1156"/>
        <v>0</v>
      </c>
      <c r="AK539" s="484">
        <f t="shared" si="1156"/>
        <v>0</v>
      </c>
      <c r="AL539" s="484"/>
      <c r="AM539" s="484">
        <f t="shared" si="1156"/>
        <v>0</v>
      </c>
      <c r="AN539" s="484">
        <f t="shared" si="1156"/>
        <v>82770682</v>
      </c>
      <c r="AO539" s="484">
        <f t="shared" si="1156"/>
        <v>0</v>
      </c>
      <c r="AP539" s="484">
        <f t="shared" si="1156"/>
        <v>82770682</v>
      </c>
      <c r="AQ539" s="591">
        <f t="shared" si="1156"/>
        <v>-80796340</v>
      </c>
      <c r="AR539" s="47">
        <f t="shared" si="1156"/>
        <v>0</v>
      </c>
    </row>
    <row r="540" spans="2:44" s="4" customFormat="1" ht="29.25" customHeight="1" thickBot="1">
      <c r="B540" s="150"/>
      <c r="C540" s="828" t="s">
        <v>903</v>
      </c>
      <c r="D540" s="829"/>
      <c r="E540" s="85"/>
      <c r="F540" s="85"/>
      <c r="G540" s="85"/>
      <c r="H540" s="85"/>
      <c r="I540" s="152">
        <f>SUM(I328,I364,I399,I425,I479,I539)</f>
        <v>120186058</v>
      </c>
      <c r="J540" s="152">
        <f t="shared" ref="J540:AK540" si="1157">SUM(J328,J364,J399,J425,J479,J539)</f>
        <v>470875000</v>
      </c>
      <c r="K540" s="152">
        <f t="shared" si="1157"/>
        <v>591061058</v>
      </c>
      <c r="L540" s="152">
        <f t="shared" si="1157"/>
        <v>243411288</v>
      </c>
      <c r="M540" s="152">
        <f t="shared" si="1157"/>
        <v>811876000</v>
      </c>
      <c r="N540" s="152">
        <f t="shared" si="1157"/>
        <v>1055287288</v>
      </c>
      <c r="O540" s="152">
        <f t="shared" si="1157"/>
        <v>185879663</v>
      </c>
      <c r="P540" s="152">
        <f t="shared" si="1157"/>
        <v>428500000</v>
      </c>
      <c r="Q540" s="152">
        <f t="shared" si="1157"/>
        <v>614379663</v>
      </c>
      <c r="R540" s="152">
        <f t="shared" si="1157"/>
        <v>143204683</v>
      </c>
      <c r="S540" s="152">
        <f t="shared" si="1157"/>
        <v>87750000</v>
      </c>
      <c r="T540" s="152">
        <f t="shared" si="1157"/>
        <v>230954683</v>
      </c>
      <c r="U540" s="152">
        <f t="shared" si="1157"/>
        <v>149627853</v>
      </c>
      <c r="V540" s="152">
        <f t="shared" si="1157"/>
        <v>0</v>
      </c>
      <c r="W540" s="152">
        <f t="shared" si="1157"/>
        <v>149627853</v>
      </c>
      <c r="X540" s="238">
        <f t="shared" si="1157"/>
        <v>137226753</v>
      </c>
      <c r="Y540" s="238">
        <f t="shared" si="1157"/>
        <v>0</v>
      </c>
      <c r="Z540" s="238">
        <f t="shared" si="1157"/>
        <v>137226753</v>
      </c>
      <c r="AA540" s="238">
        <f t="shared" si="1157"/>
        <v>134774793</v>
      </c>
      <c r="AB540" s="238">
        <f t="shared" si="1157"/>
        <v>0</v>
      </c>
      <c r="AC540" s="238">
        <f t="shared" si="1157"/>
        <v>134774793</v>
      </c>
      <c r="AD540" s="238">
        <f t="shared" si="1157"/>
        <v>1114311091</v>
      </c>
      <c r="AE540" s="238">
        <f t="shared" si="1157"/>
        <v>1799001000</v>
      </c>
      <c r="AF540" s="238">
        <f t="shared" si="1157"/>
        <v>2913312091</v>
      </c>
      <c r="AG540" s="152">
        <f t="shared" si="1157"/>
        <v>492788969</v>
      </c>
      <c r="AH540" s="152">
        <f t="shared" si="1157"/>
        <v>1737001000</v>
      </c>
      <c r="AI540" s="152">
        <f t="shared" si="1157"/>
        <v>2229789969</v>
      </c>
      <c r="AJ540" s="152">
        <f t="shared" si="1157"/>
        <v>0</v>
      </c>
      <c r="AK540" s="152">
        <f t="shared" si="1157"/>
        <v>0</v>
      </c>
      <c r="AL540" s="152"/>
      <c r="AM540" s="152">
        <f t="shared" ref="AM540:AQ540" si="1158">SUM(AM328,AM364,AM399,AM425,AM479,AM539)</f>
        <v>0</v>
      </c>
      <c r="AN540" s="152">
        <f t="shared" si="1158"/>
        <v>490738422</v>
      </c>
      <c r="AO540" s="152">
        <f t="shared" si="1158"/>
        <v>0</v>
      </c>
      <c r="AP540" s="152">
        <f t="shared" si="1158"/>
        <v>508125782</v>
      </c>
      <c r="AQ540" s="172">
        <f t="shared" si="1158"/>
        <v>-175396340</v>
      </c>
      <c r="AR540" s="49">
        <f>AQ540/AF540</f>
        <v>-6.0205132344676081E-2</v>
      </c>
    </row>
    <row r="541" spans="2:44" s="4" customFormat="1" ht="29.25" customHeight="1" thickBot="1">
      <c r="B541" s="848" t="s">
        <v>1159</v>
      </c>
      <c r="C541" s="875"/>
      <c r="D541" s="875"/>
      <c r="E541" s="875"/>
      <c r="F541" s="875"/>
      <c r="G541" s="875"/>
      <c r="H541" s="875"/>
      <c r="I541" s="875"/>
      <c r="J541" s="875"/>
      <c r="K541" s="875"/>
      <c r="L541" s="875"/>
      <c r="M541" s="875"/>
      <c r="N541" s="875"/>
      <c r="O541" s="875"/>
      <c r="P541" s="875"/>
      <c r="Q541" s="875"/>
      <c r="R541" s="875"/>
      <c r="S541" s="875"/>
      <c r="T541" s="875"/>
      <c r="U541" s="875"/>
      <c r="V541" s="875"/>
      <c r="W541" s="875"/>
      <c r="X541" s="876"/>
      <c r="Y541" s="876"/>
      <c r="Z541" s="876"/>
      <c r="AA541" s="876"/>
      <c r="AB541" s="876"/>
      <c r="AC541" s="876"/>
      <c r="AD541" s="876"/>
      <c r="AE541" s="876"/>
      <c r="AF541" s="876"/>
      <c r="AG541" s="875"/>
      <c r="AH541" s="875"/>
      <c r="AI541" s="875"/>
      <c r="AJ541" s="875"/>
      <c r="AK541" s="875"/>
      <c r="AL541" s="875"/>
      <c r="AM541" s="875"/>
      <c r="AN541" s="875"/>
      <c r="AO541" s="875"/>
      <c r="AP541" s="875"/>
      <c r="AQ541" s="877"/>
      <c r="AR541" s="48"/>
    </row>
    <row r="542" spans="2:44" ht="41.25" customHeight="1" thickBot="1">
      <c r="B542" s="848" t="s">
        <v>1158</v>
      </c>
      <c r="C542" s="849"/>
      <c r="D542" s="849"/>
      <c r="E542" s="849"/>
      <c r="F542" s="849"/>
      <c r="G542" s="849"/>
      <c r="H542" s="849"/>
      <c r="I542" s="849"/>
      <c r="J542" s="849"/>
      <c r="K542" s="849"/>
      <c r="L542" s="849"/>
      <c r="M542" s="849"/>
      <c r="N542" s="849"/>
      <c r="O542" s="849"/>
      <c r="P542" s="849"/>
      <c r="Q542" s="849"/>
      <c r="R542" s="849"/>
      <c r="S542" s="849"/>
      <c r="T542" s="849"/>
      <c r="U542" s="849"/>
      <c r="V542" s="849"/>
      <c r="W542" s="849"/>
      <c r="X542" s="849"/>
      <c r="Y542" s="849"/>
      <c r="Z542" s="849"/>
      <c r="AA542" s="849"/>
      <c r="AB542" s="849"/>
      <c r="AC542" s="849"/>
      <c r="AD542" s="849"/>
      <c r="AE542" s="849"/>
      <c r="AF542" s="849"/>
      <c r="AG542" s="849"/>
      <c r="AH542" s="849"/>
      <c r="AI542" s="849"/>
      <c r="AJ542" s="849"/>
      <c r="AK542" s="849"/>
      <c r="AL542" s="849"/>
      <c r="AM542" s="849"/>
      <c r="AN542" s="849"/>
      <c r="AO542" s="849"/>
      <c r="AP542" s="849"/>
      <c r="AQ542" s="850"/>
      <c r="AR542" s="47"/>
    </row>
    <row r="543" spans="2:44" ht="45" customHeight="1">
      <c r="B543" s="822" t="s">
        <v>0</v>
      </c>
      <c r="C543" s="836" t="s">
        <v>51</v>
      </c>
      <c r="D543" s="836" t="s">
        <v>1</v>
      </c>
      <c r="E543" s="836" t="s">
        <v>86</v>
      </c>
      <c r="F543" s="836"/>
      <c r="G543" s="836" t="s">
        <v>54</v>
      </c>
      <c r="H543" s="836"/>
      <c r="I543" s="817" t="s">
        <v>57</v>
      </c>
      <c r="J543" s="817"/>
      <c r="K543" s="817"/>
      <c r="L543" s="817" t="s">
        <v>58</v>
      </c>
      <c r="M543" s="817"/>
      <c r="N543" s="817"/>
      <c r="O543" s="817" t="s">
        <v>93</v>
      </c>
      <c r="P543" s="826"/>
      <c r="Q543" s="826"/>
      <c r="R543" s="825" t="s">
        <v>183</v>
      </c>
      <c r="S543" s="825"/>
      <c r="T543" s="825"/>
      <c r="U543" s="825" t="s">
        <v>182</v>
      </c>
      <c r="V543" s="825"/>
      <c r="W543" s="825"/>
      <c r="X543" s="825" t="s">
        <v>181</v>
      </c>
      <c r="Y543" s="825"/>
      <c r="Z543" s="825"/>
      <c r="AA543" s="825" t="s">
        <v>180</v>
      </c>
      <c r="AB543" s="825"/>
      <c r="AC543" s="825"/>
      <c r="AD543" s="825" t="s">
        <v>59</v>
      </c>
      <c r="AE543" s="826"/>
      <c r="AF543" s="826"/>
      <c r="AG543" s="817" t="s">
        <v>60</v>
      </c>
      <c r="AH543" s="817"/>
      <c r="AI543" s="817"/>
      <c r="AJ543" s="817"/>
      <c r="AK543" s="817"/>
      <c r="AL543" s="817"/>
      <c r="AM543" s="817"/>
      <c r="AN543" s="817" t="s">
        <v>65</v>
      </c>
      <c r="AO543" s="818"/>
      <c r="AP543" s="818"/>
      <c r="AQ543" s="843" t="s">
        <v>66</v>
      </c>
      <c r="AR543" s="47"/>
    </row>
    <row r="544" spans="2:44" ht="45.6" customHeight="1">
      <c r="B544" s="823"/>
      <c r="C544" s="837"/>
      <c r="D544" s="837"/>
      <c r="E544" s="830" t="s">
        <v>52</v>
      </c>
      <c r="F544" s="830" t="s">
        <v>53</v>
      </c>
      <c r="G544" s="833" t="s">
        <v>55</v>
      </c>
      <c r="H544" s="833" t="s">
        <v>55</v>
      </c>
      <c r="I544" s="821"/>
      <c r="J544" s="821"/>
      <c r="K544" s="821"/>
      <c r="L544" s="821"/>
      <c r="M544" s="821"/>
      <c r="N544" s="821"/>
      <c r="O544" s="827"/>
      <c r="P544" s="827"/>
      <c r="Q544" s="827"/>
      <c r="R544" s="847"/>
      <c r="S544" s="847"/>
      <c r="T544" s="847"/>
      <c r="U544" s="847"/>
      <c r="V544" s="847"/>
      <c r="W544" s="847"/>
      <c r="X544" s="847"/>
      <c r="Y544" s="847"/>
      <c r="Z544" s="847"/>
      <c r="AA544" s="847"/>
      <c r="AB544" s="847"/>
      <c r="AC544" s="847"/>
      <c r="AD544" s="827"/>
      <c r="AE544" s="827"/>
      <c r="AF544" s="827"/>
      <c r="AG544" s="821" t="s">
        <v>184</v>
      </c>
      <c r="AH544" s="854"/>
      <c r="AI544" s="854"/>
      <c r="AJ544" s="821" t="s">
        <v>62</v>
      </c>
      <c r="AK544" s="853"/>
      <c r="AL544" s="853"/>
      <c r="AM544" s="853"/>
      <c r="AN544" s="819" t="s">
        <v>185</v>
      </c>
      <c r="AO544" s="819"/>
      <c r="AP544" s="819"/>
      <c r="AQ544" s="844"/>
      <c r="AR544" s="47"/>
    </row>
    <row r="545" spans="2:44" ht="28.5" customHeight="1" thickBot="1">
      <c r="B545" s="824"/>
      <c r="C545" s="839"/>
      <c r="D545" s="839"/>
      <c r="E545" s="832"/>
      <c r="F545" s="832"/>
      <c r="G545" s="835"/>
      <c r="H545" s="835"/>
      <c r="I545" s="53" t="s">
        <v>32</v>
      </c>
      <c r="J545" s="53" t="s">
        <v>33</v>
      </c>
      <c r="K545" s="53" t="s">
        <v>67</v>
      </c>
      <c r="L545" s="53" t="s">
        <v>32</v>
      </c>
      <c r="M545" s="53" t="s">
        <v>33</v>
      </c>
      <c r="N545" s="53" t="s">
        <v>67</v>
      </c>
      <c r="O545" s="53" t="s">
        <v>32</v>
      </c>
      <c r="P545" s="53" t="s">
        <v>33</v>
      </c>
      <c r="Q545" s="53" t="s">
        <v>67</v>
      </c>
      <c r="R545" s="53" t="s">
        <v>32</v>
      </c>
      <c r="S545" s="53" t="s">
        <v>33</v>
      </c>
      <c r="T545" s="53" t="s">
        <v>67</v>
      </c>
      <c r="U545" s="53" t="s">
        <v>32</v>
      </c>
      <c r="V545" s="53" t="s">
        <v>33</v>
      </c>
      <c r="W545" s="53" t="s">
        <v>67</v>
      </c>
      <c r="X545" s="53"/>
      <c r="Y545" s="53"/>
      <c r="Z545" s="53"/>
      <c r="AA545" s="53"/>
      <c r="AB545" s="53"/>
      <c r="AC545" s="53"/>
      <c r="AD545" s="53" t="s">
        <v>32</v>
      </c>
      <c r="AE545" s="53" t="s">
        <v>33</v>
      </c>
      <c r="AF545" s="53" t="s">
        <v>67</v>
      </c>
      <c r="AG545" s="53" t="s">
        <v>32</v>
      </c>
      <c r="AH545" s="53" t="s">
        <v>33</v>
      </c>
      <c r="AI545" s="53" t="s">
        <v>61</v>
      </c>
      <c r="AJ545" s="53" t="s">
        <v>32</v>
      </c>
      <c r="AK545" s="53" t="s">
        <v>33</v>
      </c>
      <c r="AL545" s="53" t="s">
        <v>63</v>
      </c>
      <c r="AM545" s="53" t="s">
        <v>64</v>
      </c>
      <c r="AN545" s="53" t="s">
        <v>32</v>
      </c>
      <c r="AO545" s="53" t="s">
        <v>33</v>
      </c>
      <c r="AP545" s="53" t="s">
        <v>67</v>
      </c>
      <c r="AQ545" s="54"/>
      <c r="AR545" s="47"/>
    </row>
    <row r="546" spans="2:44" ht="47.45" customHeight="1">
      <c r="B546" s="55">
        <v>4.0999999999999996</v>
      </c>
      <c r="C546" s="845" t="s">
        <v>1160</v>
      </c>
      <c r="D546" s="846"/>
      <c r="E546" s="90"/>
      <c r="F546" s="90"/>
      <c r="G546" s="90"/>
      <c r="H546" s="90"/>
      <c r="I546" s="103"/>
      <c r="J546" s="103"/>
      <c r="K546" s="103"/>
      <c r="L546" s="103"/>
      <c r="M546" s="103"/>
      <c r="N546" s="103"/>
      <c r="O546" s="103"/>
      <c r="P546" s="103"/>
      <c r="Q546" s="103"/>
      <c r="R546" s="103"/>
      <c r="S546" s="103"/>
      <c r="T546" s="103"/>
      <c r="U546" s="103"/>
      <c r="V546" s="103"/>
      <c r="W546" s="103"/>
      <c r="X546" s="103"/>
      <c r="Y546" s="103"/>
      <c r="Z546" s="103"/>
      <c r="AA546" s="103"/>
      <c r="AB546" s="103"/>
      <c r="AC546" s="103"/>
      <c r="AD546" s="103"/>
      <c r="AE546" s="103"/>
      <c r="AF546" s="103"/>
      <c r="AG546" s="103"/>
      <c r="AH546" s="103"/>
      <c r="AI546" s="103"/>
      <c r="AJ546" s="103"/>
      <c r="AK546" s="103"/>
      <c r="AL546" s="103"/>
      <c r="AM546" s="103"/>
      <c r="AN546" s="103"/>
      <c r="AO546" s="103"/>
      <c r="AP546" s="103"/>
      <c r="AQ546" s="104"/>
      <c r="AR546" s="47"/>
    </row>
    <row r="547" spans="2:44" ht="31.9" customHeight="1">
      <c r="B547" s="61"/>
      <c r="C547" s="62" t="s">
        <v>68</v>
      </c>
      <c r="D547" s="92"/>
      <c r="E547" s="93"/>
      <c r="F547" s="93"/>
      <c r="G547" s="93"/>
      <c r="H547" s="93"/>
      <c r="I547" s="83"/>
      <c r="J547" s="83"/>
      <c r="K547" s="83"/>
      <c r="L547" s="83"/>
      <c r="M547" s="83"/>
      <c r="N547" s="83"/>
      <c r="O547" s="83"/>
      <c r="P547" s="83"/>
      <c r="Q547" s="83"/>
      <c r="R547" s="83"/>
      <c r="S547" s="83"/>
      <c r="T547" s="83"/>
      <c r="U547" s="83"/>
      <c r="V547" s="83"/>
      <c r="W547" s="83"/>
      <c r="X547" s="83"/>
      <c r="Y547" s="83"/>
      <c r="Z547" s="83"/>
      <c r="AA547" s="83"/>
      <c r="AB547" s="83"/>
      <c r="AC547" s="83"/>
      <c r="AD547" s="83"/>
      <c r="AE547" s="83"/>
      <c r="AF547" s="83"/>
      <c r="AG547" s="83"/>
      <c r="AH547" s="83"/>
      <c r="AI547" s="83"/>
      <c r="AJ547" s="83"/>
      <c r="AK547" s="83"/>
      <c r="AL547" s="83"/>
      <c r="AM547" s="83"/>
      <c r="AN547" s="83"/>
      <c r="AO547" s="83"/>
      <c r="AP547" s="83"/>
      <c r="AQ547" s="112"/>
      <c r="AR547" s="47"/>
    </row>
    <row r="548" spans="2:44" ht="58.15" customHeight="1">
      <c r="B548" s="224" t="s">
        <v>16</v>
      </c>
      <c r="C548" s="303" t="s">
        <v>1161</v>
      </c>
      <c r="D548" s="225"/>
      <c r="E548" s="801" t="s">
        <v>1608</v>
      </c>
      <c r="F548" s="801" t="s">
        <v>1607</v>
      </c>
      <c r="G548" s="200">
        <v>2024</v>
      </c>
      <c r="H548" s="200">
        <v>2030</v>
      </c>
      <c r="I548" s="203">
        <f>SUM(I549:I551)</f>
        <v>1630065</v>
      </c>
      <c r="J548" s="203">
        <f>SUM(J549:J551)</f>
        <v>0</v>
      </c>
      <c r="K548" s="226">
        <f t="shared" ref="K548:K567" si="1159">SUM(I548:J548)</f>
        <v>1630065</v>
      </c>
      <c r="L548" s="203">
        <f>SUM(L549:L551)</f>
        <v>1630065</v>
      </c>
      <c r="M548" s="203">
        <f>SUM(M549:M551)</f>
        <v>0</v>
      </c>
      <c r="N548" s="197">
        <f t="shared" ref="N548:N567" si="1160">SUM(L548:M548)</f>
        <v>1630065</v>
      </c>
      <c r="O548" s="203">
        <f>SUM(O549:O551)</f>
        <v>1630065</v>
      </c>
      <c r="P548" s="203">
        <f>SUM(P549:P551)</f>
        <v>0</v>
      </c>
      <c r="Q548" s="197">
        <f t="shared" ref="Q548:Q567" si="1161">SUM(O548:P548)</f>
        <v>1630065</v>
      </c>
      <c r="R548" s="203">
        <f>SUM(R549:R551)</f>
        <v>1630065</v>
      </c>
      <c r="S548" s="203">
        <f>SUM(S549:S551)</f>
        <v>0</v>
      </c>
      <c r="T548" s="197">
        <f t="shared" ref="T548:T567" si="1162">SUM(R548:S548)</f>
        <v>1630065</v>
      </c>
      <c r="U548" s="203">
        <f>SUM(U549:U551)</f>
        <v>1630065</v>
      </c>
      <c r="V548" s="203">
        <f>SUM(V549:V551)</f>
        <v>0</v>
      </c>
      <c r="W548" s="197">
        <f t="shared" ref="W548:W567" si="1163">SUM(U548:V548)</f>
        <v>1630065</v>
      </c>
      <c r="X548" s="197">
        <f>SUM(X549:X551)</f>
        <v>1630065</v>
      </c>
      <c r="Y548" s="197">
        <f>SUM(Y549:Y551)</f>
        <v>0</v>
      </c>
      <c r="Z548" s="197">
        <f>SUM(X548:Y548)</f>
        <v>1630065</v>
      </c>
      <c r="AA548" s="197">
        <f>SUM(AA549:AA551)</f>
        <v>1630065</v>
      </c>
      <c r="AB548" s="197">
        <f>SUM(AB549:AB551)</f>
        <v>0</v>
      </c>
      <c r="AC548" s="197">
        <f>SUM(AA548:AB548)</f>
        <v>1630065</v>
      </c>
      <c r="AD548" s="197">
        <f t="shared" ref="AD548:AE566" si="1164">I548+L548+O548+R548+U548+X548+AA548</f>
        <v>11410455</v>
      </c>
      <c r="AE548" s="197">
        <f t="shared" si="1164"/>
        <v>0</v>
      </c>
      <c r="AF548" s="197">
        <f>SUM(AD548:AE548)</f>
        <v>11410455</v>
      </c>
      <c r="AG548" s="203">
        <f>SUM(AG549:AG551)</f>
        <v>4890195</v>
      </c>
      <c r="AH548" s="203">
        <f>SUM(AH549:AH551)</f>
        <v>0</v>
      </c>
      <c r="AI548" s="197">
        <f t="shared" ref="AI548:AI567" si="1165">SUM(AG548:AH548)</f>
        <v>4890195</v>
      </c>
      <c r="AJ548" s="203">
        <f>SUM(AJ549:AJ551)</f>
        <v>0</v>
      </c>
      <c r="AK548" s="203">
        <f>SUM(AK549:AK551)</f>
        <v>0</v>
      </c>
      <c r="AL548" s="197"/>
      <c r="AM548" s="197">
        <f>AJ548+AK548</f>
        <v>0</v>
      </c>
      <c r="AN548" s="203">
        <f>SUM(AN549:AN551)</f>
        <v>6520260</v>
      </c>
      <c r="AO548" s="203">
        <f>SUM(AO549:AO551)</f>
        <v>0</v>
      </c>
      <c r="AP548" s="197">
        <f t="shared" ref="AP548:AP567" si="1166">SUM(AN548:AO548)</f>
        <v>6520260</v>
      </c>
      <c r="AQ548" s="193">
        <f t="shared" ref="AQ548:AQ571" si="1167">SUM(AP548+AM548+AI548)-AF548</f>
        <v>0</v>
      </c>
      <c r="AR548" s="47"/>
    </row>
    <row r="549" spans="2:44" ht="51" customHeight="1">
      <c r="B549" s="52" t="s">
        <v>157</v>
      </c>
      <c r="C549" s="657" t="s">
        <v>1162</v>
      </c>
      <c r="D549" s="99"/>
      <c r="E549" s="39" t="s">
        <v>1608</v>
      </c>
      <c r="F549" s="39" t="s">
        <v>1607</v>
      </c>
      <c r="G549" s="71">
        <v>2024</v>
      </c>
      <c r="H549" s="71">
        <v>2030</v>
      </c>
      <c r="I549" s="7">
        <v>543355</v>
      </c>
      <c r="J549" s="7">
        <v>0</v>
      </c>
      <c r="K549" s="264">
        <f t="shared" si="1159"/>
        <v>543355</v>
      </c>
      <c r="L549" s="7">
        <v>543355</v>
      </c>
      <c r="M549" s="7">
        <v>0</v>
      </c>
      <c r="N549" s="264">
        <f t="shared" si="1160"/>
        <v>543355</v>
      </c>
      <c r="O549" s="83">
        <v>543355</v>
      </c>
      <c r="P549" s="83">
        <v>0</v>
      </c>
      <c r="Q549" s="264">
        <f t="shared" si="1161"/>
        <v>543355</v>
      </c>
      <c r="R549" s="83">
        <v>543355</v>
      </c>
      <c r="S549" s="83">
        <v>0</v>
      </c>
      <c r="T549" s="264">
        <f t="shared" si="1162"/>
        <v>543355</v>
      </c>
      <c r="U549" s="83">
        <v>543355</v>
      </c>
      <c r="V549" s="83">
        <v>0</v>
      </c>
      <c r="W549" s="264">
        <f t="shared" si="1163"/>
        <v>543355</v>
      </c>
      <c r="X549" s="83">
        <v>543355</v>
      </c>
      <c r="Y549" s="83">
        <v>0</v>
      </c>
      <c r="Z549" s="264">
        <f t="shared" ref="Z549:Z551" si="1168">SUM(X549:Y549)</f>
        <v>543355</v>
      </c>
      <c r="AA549" s="83">
        <v>543355</v>
      </c>
      <c r="AB549" s="83">
        <v>0</v>
      </c>
      <c r="AC549" s="264">
        <f t="shared" ref="AC549:AC551" si="1169">SUM(AA549:AB549)</f>
        <v>543355</v>
      </c>
      <c r="AD549" s="83">
        <f t="shared" si="1164"/>
        <v>3803485</v>
      </c>
      <c r="AE549" s="83">
        <f t="shared" si="1164"/>
        <v>0</v>
      </c>
      <c r="AF549" s="264">
        <f>AD549+AE549</f>
        <v>3803485</v>
      </c>
      <c r="AG549" s="83">
        <f>543355*3</f>
        <v>1630065</v>
      </c>
      <c r="AH549" s="83">
        <v>0</v>
      </c>
      <c r="AI549" s="264">
        <f t="shared" si="1165"/>
        <v>1630065</v>
      </c>
      <c r="AJ549" s="83">
        <v>0</v>
      </c>
      <c r="AK549" s="83">
        <v>0</v>
      </c>
      <c r="AL549" s="83"/>
      <c r="AM549" s="264">
        <f t="shared" ref="AM549:AM561" si="1170">AJ549+AK549</f>
        <v>0</v>
      </c>
      <c r="AN549" s="83">
        <f>543355*4</f>
        <v>2173420</v>
      </c>
      <c r="AO549" s="83">
        <v>0</v>
      </c>
      <c r="AP549" s="264">
        <f t="shared" si="1166"/>
        <v>2173420</v>
      </c>
      <c r="AQ549" s="69">
        <f t="shared" si="1167"/>
        <v>0</v>
      </c>
      <c r="AR549" s="47"/>
    </row>
    <row r="550" spans="2:44" ht="59.25" customHeight="1">
      <c r="B550" s="52" t="s">
        <v>158</v>
      </c>
      <c r="C550" s="657" t="s">
        <v>1163</v>
      </c>
      <c r="D550" s="99"/>
      <c r="E550" s="39" t="s">
        <v>1608</v>
      </c>
      <c r="F550" s="39" t="s">
        <v>1607</v>
      </c>
      <c r="G550" s="71">
        <v>2024</v>
      </c>
      <c r="H550" s="71">
        <v>2030</v>
      </c>
      <c r="I550" s="7">
        <v>543355</v>
      </c>
      <c r="J550" s="7">
        <v>0</v>
      </c>
      <c r="K550" s="264">
        <f t="shared" si="1159"/>
        <v>543355</v>
      </c>
      <c r="L550" s="7">
        <v>543355</v>
      </c>
      <c r="M550" s="7">
        <v>0</v>
      </c>
      <c r="N550" s="264">
        <f t="shared" si="1160"/>
        <v>543355</v>
      </c>
      <c r="O550" s="83">
        <v>543355</v>
      </c>
      <c r="P550" s="83">
        <v>0</v>
      </c>
      <c r="Q550" s="264">
        <f t="shared" si="1161"/>
        <v>543355</v>
      </c>
      <c r="R550" s="83">
        <v>543355</v>
      </c>
      <c r="S550" s="83">
        <v>0</v>
      </c>
      <c r="T550" s="264">
        <f t="shared" si="1162"/>
        <v>543355</v>
      </c>
      <c r="U550" s="83">
        <v>543355</v>
      </c>
      <c r="V550" s="83">
        <v>0</v>
      </c>
      <c r="W550" s="264">
        <f t="shared" si="1163"/>
        <v>543355</v>
      </c>
      <c r="X550" s="83">
        <v>543355</v>
      </c>
      <c r="Y550" s="83">
        <v>0</v>
      </c>
      <c r="Z550" s="264">
        <f t="shared" si="1168"/>
        <v>543355</v>
      </c>
      <c r="AA550" s="83">
        <v>543355</v>
      </c>
      <c r="AB550" s="83">
        <v>0</v>
      </c>
      <c r="AC550" s="264">
        <f t="shared" si="1169"/>
        <v>543355</v>
      </c>
      <c r="AD550" s="83">
        <f t="shared" si="1164"/>
        <v>3803485</v>
      </c>
      <c r="AE550" s="83">
        <f t="shared" si="1164"/>
        <v>0</v>
      </c>
      <c r="AF550" s="264">
        <f>AD550+AE550</f>
        <v>3803485</v>
      </c>
      <c r="AG550" s="83">
        <f t="shared" ref="AG550:AG551" si="1171">543355*3</f>
        <v>1630065</v>
      </c>
      <c r="AH550" s="83">
        <v>0</v>
      </c>
      <c r="AI550" s="264">
        <f t="shared" si="1165"/>
        <v>1630065</v>
      </c>
      <c r="AJ550" s="83">
        <v>0</v>
      </c>
      <c r="AK550" s="83">
        <v>0</v>
      </c>
      <c r="AL550" s="83"/>
      <c r="AM550" s="264">
        <f t="shared" si="1170"/>
        <v>0</v>
      </c>
      <c r="AN550" s="83">
        <f t="shared" ref="AN550:AN551" si="1172">543355*4</f>
        <v>2173420</v>
      </c>
      <c r="AO550" s="83">
        <v>0</v>
      </c>
      <c r="AP550" s="264">
        <f t="shared" si="1166"/>
        <v>2173420</v>
      </c>
      <c r="AQ550" s="69">
        <f t="shared" si="1167"/>
        <v>0</v>
      </c>
      <c r="AR550" s="47"/>
    </row>
    <row r="551" spans="2:44" ht="66.599999999999994" customHeight="1">
      <c r="B551" s="52" t="s">
        <v>159</v>
      </c>
      <c r="C551" s="657" t="s">
        <v>1164</v>
      </c>
      <c r="D551" s="99"/>
      <c r="E551" s="39" t="s">
        <v>1608</v>
      </c>
      <c r="F551" s="39" t="s">
        <v>1607</v>
      </c>
      <c r="G551" s="71">
        <v>2024</v>
      </c>
      <c r="H551" s="71">
        <v>2030</v>
      </c>
      <c r="I551" s="7">
        <v>543355</v>
      </c>
      <c r="J551" s="7">
        <v>0</v>
      </c>
      <c r="K551" s="264">
        <f t="shared" si="1159"/>
        <v>543355</v>
      </c>
      <c r="L551" s="7">
        <v>543355</v>
      </c>
      <c r="M551" s="7">
        <v>0</v>
      </c>
      <c r="N551" s="264">
        <f t="shared" si="1160"/>
        <v>543355</v>
      </c>
      <c r="O551" s="83">
        <v>543355</v>
      </c>
      <c r="P551" s="83">
        <v>0</v>
      </c>
      <c r="Q551" s="264">
        <f t="shared" si="1161"/>
        <v>543355</v>
      </c>
      <c r="R551" s="83">
        <v>543355</v>
      </c>
      <c r="S551" s="83">
        <v>0</v>
      </c>
      <c r="T551" s="264">
        <f t="shared" si="1162"/>
        <v>543355</v>
      </c>
      <c r="U551" s="83">
        <v>543355</v>
      </c>
      <c r="V551" s="83">
        <v>0</v>
      </c>
      <c r="W551" s="264">
        <f t="shared" si="1163"/>
        <v>543355</v>
      </c>
      <c r="X551" s="83">
        <v>543355</v>
      </c>
      <c r="Y551" s="83">
        <v>0</v>
      </c>
      <c r="Z551" s="264">
        <f t="shared" si="1168"/>
        <v>543355</v>
      </c>
      <c r="AA551" s="83">
        <v>543355</v>
      </c>
      <c r="AB551" s="83">
        <v>0</v>
      </c>
      <c r="AC551" s="264">
        <f t="shared" si="1169"/>
        <v>543355</v>
      </c>
      <c r="AD551" s="83">
        <f t="shared" si="1164"/>
        <v>3803485</v>
      </c>
      <c r="AE551" s="83">
        <f t="shared" si="1164"/>
        <v>0</v>
      </c>
      <c r="AF551" s="264">
        <f>AD551+AE551</f>
        <v>3803485</v>
      </c>
      <c r="AG551" s="83">
        <f t="shared" si="1171"/>
        <v>1630065</v>
      </c>
      <c r="AH551" s="83">
        <v>0</v>
      </c>
      <c r="AI551" s="264">
        <f t="shared" si="1165"/>
        <v>1630065</v>
      </c>
      <c r="AJ551" s="83">
        <v>0</v>
      </c>
      <c r="AK551" s="83">
        <v>0</v>
      </c>
      <c r="AL551" s="83"/>
      <c r="AM551" s="264">
        <f t="shared" si="1170"/>
        <v>0</v>
      </c>
      <c r="AN551" s="83">
        <f t="shared" si="1172"/>
        <v>2173420</v>
      </c>
      <c r="AO551" s="83">
        <v>0</v>
      </c>
      <c r="AP551" s="264">
        <f t="shared" si="1166"/>
        <v>2173420</v>
      </c>
      <c r="AQ551" s="69">
        <f t="shared" si="1167"/>
        <v>0</v>
      </c>
      <c r="AR551" s="47"/>
    </row>
    <row r="552" spans="2:44" ht="57.6" customHeight="1">
      <c r="B552" s="208" t="s">
        <v>18</v>
      </c>
      <c r="C552" s="258" t="s">
        <v>1165</v>
      </c>
      <c r="D552" s="209"/>
      <c r="E552" s="192" t="s">
        <v>611</v>
      </c>
      <c r="F552" s="658" t="s">
        <v>961</v>
      </c>
      <c r="G552" s="438">
        <v>2024</v>
      </c>
      <c r="H552" s="438">
        <v>2030</v>
      </c>
      <c r="I552" s="189">
        <f>SUM(I553:I557)</f>
        <v>871678</v>
      </c>
      <c r="J552" s="189">
        <f>SUM(J553:J557)</f>
        <v>0</v>
      </c>
      <c r="K552" s="197">
        <f t="shared" si="1159"/>
        <v>871678</v>
      </c>
      <c r="L552" s="189">
        <f>SUM(L553:L557)</f>
        <v>815033</v>
      </c>
      <c r="M552" s="189">
        <f>SUM(M553:M557)</f>
        <v>0</v>
      </c>
      <c r="N552" s="197">
        <f t="shared" si="1160"/>
        <v>815033</v>
      </c>
      <c r="O552" s="189">
        <f>SUM(O553:O557)</f>
        <v>271678</v>
      </c>
      <c r="P552" s="189">
        <f>SUM(P553:P557)</f>
        <v>184000000</v>
      </c>
      <c r="Q552" s="197">
        <f t="shared" si="1161"/>
        <v>184271678</v>
      </c>
      <c r="R552" s="189">
        <f>SUM(R553:R557)</f>
        <v>271678</v>
      </c>
      <c r="S552" s="189">
        <f>SUM(S553:S557)</f>
        <v>0</v>
      </c>
      <c r="T552" s="197">
        <f t="shared" si="1162"/>
        <v>271678</v>
      </c>
      <c r="U552" s="189">
        <f>SUM(U553:U557)</f>
        <v>271678</v>
      </c>
      <c r="V552" s="189">
        <f>SUM(V553:V557)</f>
        <v>0</v>
      </c>
      <c r="W552" s="197">
        <f t="shared" si="1163"/>
        <v>271678</v>
      </c>
      <c r="X552" s="197">
        <f>SUM(X553:X557)</f>
        <v>271678</v>
      </c>
      <c r="Y552" s="197">
        <f>SUM(Y553:Y557)</f>
        <v>0</v>
      </c>
      <c r="Z552" s="197">
        <f>SUM(X552:Y552)</f>
        <v>271678</v>
      </c>
      <c r="AA552" s="197">
        <f>SUM(AA553:AA557)</f>
        <v>271678</v>
      </c>
      <c r="AB552" s="197">
        <f>SUM(AB553:AB557)</f>
        <v>0</v>
      </c>
      <c r="AC552" s="197">
        <f>SUM(AA552:AB552)</f>
        <v>271678</v>
      </c>
      <c r="AD552" s="197">
        <f t="shared" si="1164"/>
        <v>3045101</v>
      </c>
      <c r="AE552" s="197">
        <f t="shared" si="1164"/>
        <v>184000000</v>
      </c>
      <c r="AF552" s="197">
        <f>SUM(AD552:AE552)</f>
        <v>187045101</v>
      </c>
      <c r="AG552" s="189">
        <f>SUM(AG553:AG557)</f>
        <v>1958389</v>
      </c>
      <c r="AH552" s="189">
        <f>SUM(AH553:AH557)</f>
        <v>0</v>
      </c>
      <c r="AI552" s="197">
        <f t="shared" si="1165"/>
        <v>1958389</v>
      </c>
      <c r="AJ552" s="189">
        <f>SUM(AJ553:AJ557)</f>
        <v>0</v>
      </c>
      <c r="AK552" s="189">
        <f>SUM(AK553:AK557)</f>
        <v>0</v>
      </c>
      <c r="AL552" s="197"/>
      <c r="AM552" s="197">
        <f>AJ552+AK552</f>
        <v>0</v>
      </c>
      <c r="AN552" s="189">
        <f>SUM(AN553:AN557)</f>
        <v>1086712</v>
      </c>
      <c r="AO552" s="189">
        <f>SUM(AO553:AO557)</f>
        <v>0</v>
      </c>
      <c r="AP552" s="197">
        <f t="shared" si="1166"/>
        <v>1086712</v>
      </c>
      <c r="AQ552" s="193">
        <f t="shared" si="1167"/>
        <v>-184000000</v>
      </c>
      <c r="AR552" s="47"/>
    </row>
    <row r="553" spans="2:44" ht="72" customHeight="1">
      <c r="B553" s="98" t="s">
        <v>160</v>
      </c>
      <c r="C553" s="353" t="s">
        <v>1166</v>
      </c>
      <c r="D553" s="99"/>
      <c r="E553" s="39" t="s">
        <v>611</v>
      </c>
      <c r="F553" s="388" t="s">
        <v>961</v>
      </c>
      <c r="G553" s="553">
        <v>2024</v>
      </c>
      <c r="H553" s="553">
        <v>2024</v>
      </c>
      <c r="I553" s="7">
        <v>600000</v>
      </c>
      <c r="J553" s="7">
        <v>0</v>
      </c>
      <c r="K553" s="264">
        <f t="shared" si="1159"/>
        <v>600000</v>
      </c>
      <c r="L553" s="7">
        <v>0</v>
      </c>
      <c r="M553" s="7">
        <v>0</v>
      </c>
      <c r="N553" s="264">
        <f t="shared" si="1160"/>
        <v>0</v>
      </c>
      <c r="O553" s="83">
        <v>0</v>
      </c>
      <c r="P553" s="83">
        <v>0</v>
      </c>
      <c r="Q553" s="264">
        <f t="shared" si="1161"/>
        <v>0</v>
      </c>
      <c r="R553" s="83">
        <v>0</v>
      </c>
      <c r="S553" s="83">
        <v>0</v>
      </c>
      <c r="T553" s="264">
        <f t="shared" si="1162"/>
        <v>0</v>
      </c>
      <c r="U553" s="83">
        <v>0</v>
      </c>
      <c r="V553" s="83">
        <v>0</v>
      </c>
      <c r="W553" s="264">
        <f t="shared" si="1163"/>
        <v>0</v>
      </c>
      <c r="X553" s="83">
        <v>0</v>
      </c>
      <c r="Y553" s="83">
        <v>0</v>
      </c>
      <c r="Z553" s="264">
        <f t="shared" ref="Z553:Z557" si="1173">SUM(X553:Y553)</f>
        <v>0</v>
      </c>
      <c r="AA553" s="83">
        <v>0</v>
      </c>
      <c r="AB553" s="83">
        <v>0</v>
      </c>
      <c r="AC553" s="264">
        <f t="shared" ref="AC553:AC557" si="1174">SUM(AA553:AB553)</f>
        <v>0</v>
      </c>
      <c r="AD553" s="83">
        <f t="shared" si="1164"/>
        <v>600000</v>
      </c>
      <c r="AE553" s="83">
        <f t="shared" si="1164"/>
        <v>0</v>
      </c>
      <c r="AF553" s="264">
        <f t="shared" ref="AF553:AF557" si="1175">SUM(AD553:AE553)</f>
        <v>600000</v>
      </c>
      <c r="AG553" s="83">
        <f>600000*1</f>
        <v>600000</v>
      </c>
      <c r="AH553" s="83">
        <v>0</v>
      </c>
      <c r="AI553" s="264">
        <f t="shared" si="1165"/>
        <v>600000</v>
      </c>
      <c r="AJ553" s="83">
        <v>0</v>
      </c>
      <c r="AK553" s="83">
        <v>0</v>
      </c>
      <c r="AL553" s="83"/>
      <c r="AM553" s="264">
        <f t="shared" ref="AM553:AM557" si="1176">AJ553+AK553</f>
        <v>0</v>
      </c>
      <c r="AN553" s="83">
        <v>0</v>
      </c>
      <c r="AO553" s="83">
        <v>0</v>
      </c>
      <c r="AP553" s="264">
        <f t="shared" si="1166"/>
        <v>0</v>
      </c>
      <c r="AQ553" s="69">
        <f t="shared" si="1167"/>
        <v>0</v>
      </c>
      <c r="AR553" s="47"/>
    </row>
    <row r="554" spans="2:44" ht="73.150000000000006" customHeight="1">
      <c r="B554" s="52" t="s">
        <v>161</v>
      </c>
      <c r="C554" s="353" t="s">
        <v>1167</v>
      </c>
      <c r="D554" s="99"/>
      <c r="E554" s="39" t="s">
        <v>611</v>
      </c>
      <c r="F554" s="39" t="s">
        <v>961</v>
      </c>
      <c r="G554" s="553">
        <v>2025</v>
      </c>
      <c r="H554" s="553">
        <v>2025</v>
      </c>
      <c r="I554" s="7">
        <v>0</v>
      </c>
      <c r="J554" s="7">
        <v>0</v>
      </c>
      <c r="K554" s="264">
        <f t="shared" si="1159"/>
        <v>0</v>
      </c>
      <c r="L554" s="7">
        <v>543355</v>
      </c>
      <c r="M554" s="7">
        <v>0</v>
      </c>
      <c r="N554" s="264">
        <f t="shared" si="1160"/>
        <v>543355</v>
      </c>
      <c r="O554" s="83">
        <v>0</v>
      </c>
      <c r="P554" s="83">
        <v>0</v>
      </c>
      <c r="Q554" s="264">
        <f t="shared" si="1161"/>
        <v>0</v>
      </c>
      <c r="R554" s="83">
        <v>0</v>
      </c>
      <c r="S554" s="83">
        <v>0</v>
      </c>
      <c r="T554" s="264">
        <f t="shared" si="1162"/>
        <v>0</v>
      </c>
      <c r="U554" s="83">
        <v>0</v>
      </c>
      <c r="V554" s="83">
        <v>0</v>
      </c>
      <c r="W554" s="264">
        <f t="shared" si="1163"/>
        <v>0</v>
      </c>
      <c r="X554" s="83">
        <v>0</v>
      </c>
      <c r="Y554" s="83">
        <v>0</v>
      </c>
      <c r="Z554" s="264">
        <f t="shared" si="1173"/>
        <v>0</v>
      </c>
      <c r="AA554" s="83">
        <v>0</v>
      </c>
      <c r="AB554" s="83">
        <v>0</v>
      </c>
      <c r="AC554" s="264">
        <f t="shared" si="1174"/>
        <v>0</v>
      </c>
      <c r="AD554" s="83">
        <f t="shared" si="1164"/>
        <v>543355</v>
      </c>
      <c r="AE554" s="83">
        <f t="shared" si="1164"/>
        <v>0</v>
      </c>
      <c r="AF554" s="264">
        <f t="shared" si="1175"/>
        <v>543355</v>
      </c>
      <c r="AG554" s="83">
        <v>543355</v>
      </c>
      <c r="AH554" s="83">
        <v>0</v>
      </c>
      <c r="AI554" s="264">
        <f t="shared" si="1165"/>
        <v>543355</v>
      </c>
      <c r="AJ554" s="83">
        <v>0</v>
      </c>
      <c r="AK554" s="83">
        <v>0</v>
      </c>
      <c r="AL554" s="83"/>
      <c r="AM554" s="264">
        <f t="shared" si="1176"/>
        <v>0</v>
      </c>
      <c r="AN554" s="83">
        <v>0</v>
      </c>
      <c r="AO554" s="83">
        <v>0</v>
      </c>
      <c r="AP554" s="264">
        <f t="shared" si="1166"/>
        <v>0</v>
      </c>
      <c r="AQ554" s="69">
        <f t="shared" si="1167"/>
        <v>0</v>
      </c>
      <c r="AR554" s="47"/>
    </row>
    <row r="555" spans="2:44" ht="43.15" customHeight="1">
      <c r="B555" s="52" t="s">
        <v>162</v>
      </c>
      <c r="C555" s="353" t="s">
        <v>1168</v>
      </c>
      <c r="D555" s="99"/>
      <c r="E555" s="39" t="s">
        <v>611</v>
      </c>
      <c r="F555" s="39" t="s">
        <v>961</v>
      </c>
      <c r="G555" s="553">
        <v>2025</v>
      </c>
      <c r="H555" s="553">
        <v>2027</v>
      </c>
      <c r="I555" s="7">
        <v>0</v>
      </c>
      <c r="J555" s="7">
        <v>0</v>
      </c>
      <c r="K555" s="264">
        <f t="shared" si="1159"/>
        <v>0</v>
      </c>
      <c r="L555" s="7">
        <v>0</v>
      </c>
      <c r="M555" s="7">
        <v>0</v>
      </c>
      <c r="N555" s="264">
        <f t="shared" si="1160"/>
        <v>0</v>
      </c>
      <c r="O555" s="83">
        <v>0</v>
      </c>
      <c r="P555" s="83">
        <v>0</v>
      </c>
      <c r="Q555" s="264">
        <f t="shared" si="1161"/>
        <v>0</v>
      </c>
      <c r="R555" s="83">
        <v>0</v>
      </c>
      <c r="S555" s="83">
        <v>0</v>
      </c>
      <c r="T555" s="264">
        <f t="shared" si="1162"/>
        <v>0</v>
      </c>
      <c r="U555" s="83">
        <v>0</v>
      </c>
      <c r="V555" s="83">
        <v>0</v>
      </c>
      <c r="W555" s="264">
        <f t="shared" si="1163"/>
        <v>0</v>
      </c>
      <c r="X555" s="83">
        <v>0</v>
      </c>
      <c r="Y555" s="83">
        <v>0</v>
      </c>
      <c r="Z555" s="264">
        <f t="shared" si="1173"/>
        <v>0</v>
      </c>
      <c r="AA555" s="83">
        <v>0</v>
      </c>
      <c r="AB555" s="83">
        <v>0</v>
      </c>
      <c r="AC555" s="264">
        <f t="shared" si="1174"/>
        <v>0</v>
      </c>
      <c r="AD555" s="83">
        <f t="shared" si="1164"/>
        <v>0</v>
      </c>
      <c r="AE555" s="83">
        <f t="shared" si="1164"/>
        <v>0</v>
      </c>
      <c r="AF555" s="264">
        <f t="shared" si="1175"/>
        <v>0</v>
      </c>
      <c r="AG555" s="83">
        <v>0</v>
      </c>
      <c r="AH555" s="83">
        <v>0</v>
      </c>
      <c r="AI555" s="264">
        <f t="shared" si="1165"/>
        <v>0</v>
      </c>
      <c r="AJ555" s="83">
        <v>0</v>
      </c>
      <c r="AK555" s="83">
        <v>0</v>
      </c>
      <c r="AL555" s="83"/>
      <c r="AM555" s="264">
        <f t="shared" si="1176"/>
        <v>0</v>
      </c>
      <c r="AN555" s="83">
        <v>0</v>
      </c>
      <c r="AO555" s="83">
        <v>0</v>
      </c>
      <c r="AP555" s="264">
        <f t="shared" si="1166"/>
        <v>0</v>
      </c>
      <c r="AQ555" s="69">
        <f t="shared" si="1167"/>
        <v>0</v>
      </c>
      <c r="AR555" s="47"/>
    </row>
    <row r="556" spans="2:44" ht="76.900000000000006" customHeight="1">
      <c r="B556" s="52" t="s">
        <v>163</v>
      </c>
      <c r="C556" s="376" t="s">
        <v>1169</v>
      </c>
      <c r="D556" s="99"/>
      <c r="E556" s="39" t="s">
        <v>611</v>
      </c>
      <c r="F556" s="39" t="s">
        <v>961</v>
      </c>
      <c r="G556" s="553">
        <v>2027</v>
      </c>
      <c r="H556" s="553">
        <v>2027</v>
      </c>
      <c r="I556" s="7">
        <v>0</v>
      </c>
      <c r="J556" s="7">
        <v>0</v>
      </c>
      <c r="K556" s="264">
        <f t="shared" si="1159"/>
        <v>0</v>
      </c>
      <c r="L556" s="7">
        <v>0</v>
      </c>
      <c r="M556" s="7">
        <v>0</v>
      </c>
      <c r="N556" s="264">
        <f t="shared" si="1160"/>
        <v>0</v>
      </c>
      <c r="O556" s="83">
        <v>0</v>
      </c>
      <c r="P556" s="83">
        <v>184000000</v>
      </c>
      <c r="Q556" s="264">
        <f t="shared" si="1161"/>
        <v>184000000</v>
      </c>
      <c r="R556" s="83">
        <v>0</v>
      </c>
      <c r="S556" s="83">
        <v>0</v>
      </c>
      <c r="T556" s="264">
        <f t="shared" si="1162"/>
        <v>0</v>
      </c>
      <c r="U556" s="83">
        <v>0</v>
      </c>
      <c r="V556" s="83">
        <v>0</v>
      </c>
      <c r="W556" s="264">
        <f t="shared" si="1163"/>
        <v>0</v>
      </c>
      <c r="X556" s="83">
        <v>0</v>
      </c>
      <c r="Y556" s="83">
        <v>0</v>
      </c>
      <c r="Z556" s="264">
        <f t="shared" si="1173"/>
        <v>0</v>
      </c>
      <c r="AA556" s="83">
        <v>0</v>
      </c>
      <c r="AB556" s="83">
        <v>0</v>
      </c>
      <c r="AC556" s="264">
        <f t="shared" si="1174"/>
        <v>0</v>
      </c>
      <c r="AD556" s="83">
        <f t="shared" si="1164"/>
        <v>0</v>
      </c>
      <c r="AE556" s="83">
        <f t="shared" si="1164"/>
        <v>184000000</v>
      </c>
      <c r="AF556" s="264">
        <f t="shared" si="1175"/>
        <v>184000000</v>
      </c>
      <c r="AG556" s="83">
        <v>0</v>
      </c>
      <c r="AH556" s="83">
        <v>0</v>
      </c>
      <c r="AI556" s="264">
        <f t="shared" si="1165"/>
        <v>0</v>
      </c>
      <c r="AJ556" s="83">
        <v>0</v>
      </c>
      <c r="AK556" s="83">
        <v>0</v>
      </c>
      <c r="AL556" s="83"/>
      <c r="AM556" s="264">
        <f t="shared" si="1176"/>
        <v>0</v>
      </c>
      <c r="AN556" s="83">
        <v>0</v>
      </c>
      <c r="AO556" s="83">
        <v>0</v>
      </c>
      <c r="AP556" s="264">
        <f t="shared" si="1166"/>
        <v>0</v>
      </c>
      <c r="AQ556" s="69">
        <f t="shared" si="1167"/>
        <v>-184000000</v>
      </c>
      <c r="AR556" s="47"/>
    </row>
    <row r="557" spans="2:44" ht="61.15" customHeight="1">
      <c r="B557" s="52" t="s">
        <v>242</v>
      </c>
      <c r="C557" s="353" t="s">
        <v>1170</v>
      </c>
      <c r="D557" s="99"/>
      <c r="E557" s="39" t="s">
        <v>611</v>
      </c>
      <c r="F557" s="39" t="s">
        <v>961</v>
      </c>
      <c r="G557" s="553">
        <v>2024</v>
      </c>
      <c r="H557" s="553">
        <v>2030</v>
      </c>
      <c r="I557" s="7">
        <v>271678</v>
      </c>
      <c r="J557" s="7">
        <v>0</v>
      </c>
      <c r="K557" s="264">
        <f t="shared" si="1159"/>
        <v>271678</v>
      </c>
      <c r="L557" s="7">
        <v>271678</v>
      </c>
      <c r="M557" s="7">
        <v>0</v>
      </c>
      <c r="N557" s="264">
        <f t="shared" si="1160"/>
        <v>271678</v>
      </c>
      <c r="O557" s="83">
        <v>271678</v>
      </c>
      <c r="P557" s="83">
        <v>0</v>
      </c>
      <c r="Q557" s="264">
        <f t="shared" si="1161"/>
        <v>271678</v>
      </c>
      <c r="R557" s="83">
        <v>271678</v>
      </c>
      <c r="S557" s="83">
        <v>0</v>
      </c>
      <c r="T557" s="264">
        <f t="shared" si="1162"/>
        <v>271678</v>
      </c>
      <c r="U557" s="83">
        <v>271678</v>
      </c>
      <c r="V557" s="83">
        <v>0</v>
      </c>
      <c r="W557" s="264">
        <f t="shared" si="1163"/>
        <v>271678</v>
      </c>
      <c r="X557" s="83">
        <v>271678</v>
      </c>
      <c r="Y557" s="83">
        <v>0</v>
      </c>
      <c r="Z557" s="264">
        <f t="shared" si="1173"/>
        <v>271678</v>
      </c>
      <c r="AA557" s="83">
        <v>271678</v>
      </c>
      <c r="AB557" s="83">
        <v>0</v>
      </c>
      <c r="AC557" s="264">
        <f t="shared" si="1174"/>
        <v>271678</v>
      </c>
      <c r="AD557" s="83">
        <f t="shared" si="1164"/>
        <v>1901746</v>
      </c>
      <c r="AE557" s="83">
        <f t="shared" si="1164"/>
        <v>0</v>
      </c>
      <c r="AF557" s="264">
        <f t="shared" si="1175"/>
        <v>1901746</v>
      </c>
      <c r="AG557" s="83">
        <f>271678*3</f>
        <v>815034</v>
      </c>
      <c r="AH557" s="83">
        <v>0</v>
      </c>
      <c r="AI557" s="264">
        <f t="shared" si="1165"/>
        <v>815034</v>
      </c>
      <c r="AJ557" s="83">
        <v>0</v>
      </c>
      <c r="AK557" s="83">
        <v>0</v>
      </c>
      <c r="AL557" s="83"/>
      <c r="AM557" s="264">
        <f t="shared" si="1176"/>
        <v>0</v>
      </c>
      <c r="AN557" s="83">
        <f>271678*4</f>
        <v>1086712</v>
      </c>
      <c r="AO557" s="83">
        <v>0</v>
      </c>
      <c r="AP557" s="264">
        <f t="shared" si="1166"/>
        <v>1086712</v>
      </c>
      <c r="AQ557" s="69">
        <f t="shared" si="1167"/>
        <v>0</v>
      </c>
      <c r="AR557" s="47"/>
    </row>
    <row r="558" spans="2:44" ht="76.900000000000006" customHeight="1">
      <c r="B558" s="213" t="s">
        <v>29</v>
      </c>
      <c r="C558" s="258" t="s">
        <v>1172</v>
      </c>
      <c r="D558" s="209"/>
      <c r="E558" s="185" t="s">
        <v>581</v>
      </c>
      <c r="F558" s="192" t="s">
        <v>1177</v>
      </c>
      <c r="G558" s="185">
        <v>2024</v>
      </c>
      <c r="H558" s="185">
        <v>2030</v>
      </c>
      <c r="I558" s="189">
        <f>SUM(I559:I561)</f>
        <v>1086710</v>
      </c>
      <c r="J558" s="189">
        <f>SUM(J559:J561)</f>
        <v>0</v>
      </c>
      <c r="K558" s="197">
        <f t="shared" si="1159"/>
        <v>1086710</v>
      </c>
      <c r="L558" s="189">
        <f>SUM(L559:L561)</f>
        <v>6746841</v>
      </c>
      <c r="M558" s="189">
        <f>SUM(M559:M561)</f>
        <v>0</v>
      </c>
      <c r="N558" s="197">
        <f t="shared" si="1160"/>
        <v>6746841</v>
      </c>
      <c r="O558" s="189">
        <f>SUM(O559:O561)</f>
        <v>6746841</v>
      </c>
      <c r="P558" s="189">
        <f>SUM(P559:P561)</f>
        <v>0</v>
      </c>
      <c r="Q558" s="197">
        <f t="shared" si="1161"/>
        <v>6746841</v>
      </c>
      <c r="R558" s="189">
        <f>SUM(R559:R561)</f>
        <v>6746841</v>
      </c>
      <c r="S558" s="189">
        <f>SUM(S559:S561)</f>
        <v>0</v>
      </c>
      <c r="T558" s="197">
        <f t="shared" si="1162"/>
        <v>6746841</v>
      </c>
      <c r="U558" s="189">
        <f>SUM(U559:U561)</f>
        <v>6746841</v>
      </c>
      <c r="V558" s="189">
        <f>SUM(V559:V561)</f>
        <v>0</v>
      </c>
      <c r="W558" s="197">
        <f t="shared" si="1163"/>
        <v>6746841</v>
      </c>
      <c r="X558" s="197">
        <f>SUM(X559:X561)</f>
        <v>6746841</v>
      </c>
      <c r="Y558" s="197">
        <f>SUM(Y559:Y561)</f>
        <v>0</v>
      </c>
      <c r="Z558" s="197">
        <f>SUM(X558:Y558)</f>
        <v>6746841</v>
      </c>
      <c r="AA558" s="197">
        <f>SUM(AA559:AA561)</f>
        <v>6746841</v>
      </c>
      <c r="AB558" s="197">
        <f>SUM(AB559:AB561)</f>
        <v>0</v>
      </c>
      <c r="AC558" s="197">
        <f>SUM(AA558:AB558)</f>
        <v>6746841</v>
      </c>
      <c r="AD558" s="197">
        <f t="shared" si="1164"/>
        <v>41567756</v>
      </c>
      <c r="AE558" s="197">
        <f t="shared" si="1164"/>
        <v>0</v>
      </c>
      <c r="AF558" s="197">
        <f>SUM(AD558:AE558)</f>
        <v>41567756</v>
      </c>
      <c r="AG558" s="189">
        <f>SUM(AG559:AG561)</f>
        <v>14580392</v>
      </c>
      <c r="AH558" s="189">
        <f>SUM(AH559:AH561)</f>
        <v>0</v>
      </c>
      <c r="AI558" s="197">
        <f t="shared" si="1165"/>
        <v>14580392</v>
      </c>
      <c r="AJ558" s="189">
        <f>SUM(AJ559:AJ561)</f>
        <v>0</v>
      </c>
      <c r="AK558" s="189">
        <f>SUM(AK559:AK561)</f>
        <v>0</v>
      </c>
      <c r="AL558" s="197"/>
      <c r="AM558" s="197">
        <f>AJ558+AK558</f>
        <v>0</v>
      </c>
      <c r="AN558" s="189">
        <f>SUM(AN559:AN561)</f>
        <v>26987364</v>
      </c>
      <c r="AO558" s="189">
        <f>SUM(AO559:AO561)</f>
        <v>0</v>
      </c>
      <c r="AP558" s="197">
        <f t="shared" si="1166"/>
        <v>26987364</v>
      </c>
      <c r="AQ558" s="193">
        <f t="shared" si="1167"/>
        <v>0</v>
      </c>
      <c r="AR558" s="47"/>
    </row>
    <row r="559" spans="2:44" ht="85.15" customHeight="1">
      <c r="B559" s="52" t="s">
        <v>164</v>
      </c>
      <c r="C559" s="353" t="s">
        <v>1173</v>
      </c>
      <c r="D559" s="99"/>
      <c r="E559" s="39" t="s">
        <v>541</v>
      </c>
      <c r="F559" s="39" t="s">
        <v>125</v>
      </c>
      <c r="G559" s="71">
        <v>2024</v>
      </c>
      <c r="H559" s="71">
        <v>2030</v>
      </c>
      <c r="I559" s="7">
        <v>1086710</v>
      </c>
      <c r="J559" s="7">
        <v>0</v>
      </c>
      <c r="K559" s="264">
        <f t="shared" si="1159"/>
        <v>1086710</v>
      </c>
      <c r="L559" s="7">
        <v>1086710</v>
      </c>
      <c r="M559" s="7">
        <v>0</v>
      </c>
      <c r="N559" s="264">
        <f t="shared" si="1160"/>
        <v>1086710</v>
      </c>
      <c r="O559" s="83">
        <v>1086710</v>
      </c>
      <c r="P559" s="7">
        <v>0</v>
      </c>
      <c r="Q559" s="264">
        <f t="shared" si="1161"/>
        <v>1086710</v>
      </c>
      <c r="R559" s="83">
        <v>1086710</v>
      </c>
      <c r="S559" s="7">
        <v>0</v>
      </c>
      <c r="T559" s="270">
        <f t="shared" si="1162"/>
        <v>1086710</v>
      </c>
      <c r="U559" s="83">
        <v>1086710</v>
      </c>
      <c r="V559" s="83">
        <v>0</v>
      </c>
      <c r="W559" s="264">
        <f t="shared" si="1163"/>
        <v>1086710</v>
      </c>
      <c r="X559" s="83">
        <v>1086710</v>
      </c>
      <c r="Y559" s="83">
        <v>0</v>
      </c>
      <c r="Z559" s="264">
        <f t="shared" ref="Z559:Z561" si="1177">SUM(X559:Y559)</f>
        <v>1086710</v>
      </c>
      <c r="AA559" s="83">
        <v>1086710</v>
      </c>
      <c r="AB559" s="83">
        <v>0</v>
      </c>
      <c r="AC559" s="264">
        <f t="shared" ref="AC559:AC561" si="1178">SUM(AA559:AB559)</f>
        <v>1086710</v>
      </c>
      <c r="AD559" s="83">
        <f t="shared" si="1164"/>
        <v>7606970</v>
      </c>
      <c r="AE559" s="83">
        <f t="shared" si="1164"/>
        <v>0</v>
      </c>
      <c r="AF559" s="264">
        <f>AD559+AE559</f>
        <v>7606970</v>
      </c>
      <c r="AG559" s="83">
        <f>1086710*3</f>
        <v>3260130</v>
      </c>
      <c r="AH559" s="83">
        <v>0</v>
      </c>
      <c r="AI559" s="264">
        <f t="shared" si="1165"/>
        <v>3260130</v>
      </c>
      <c r="AJ559" s="83">
        <v>0</v>
      </c>
      <c r="AK559" s="83">
        <v>0</v>
      </c>
      <c r="AL559" s="83"/>
      <c r="AM559" s="264">
        <f t="shared" si="1170"/>
        <v>0</v>
      </c>
      <c r="AN559" s="83">
        <f>1086710*4</f>
        <v>4346840</v>
      </c>
      <c r="AO559" s="83">
        <v>0</v>
      </c>
      <c r="AP559" s="264">
        <f t="shared" si="1166"/>
        <v>4346840</v>
      </c>
      <c r="AQ559" s="170">
        <f t="shared" si="1167"/>
        <v>0</v>
      </c>
      <c r="AR559" s="47"/>
    </row>
    <row r="560" spans="2:44" ht="58.9" customHeight="1">
      <c r="B560" s="52" t="s">
        <v>165</v>
      </c>
      <c r="C560" s="353" t="s">
        <v>1174</v>
      </c>
      <c r="D560" s="99"/>
      <c r="E560" s="39" t="s">
        <v>125</v>
      </c>
      <c r="F560" s="39" t="s">
        <v>541</v>
      </c>
      <c r="G560" s="71">
        <v>2024</v>
      </c>
      <c r="H560" s="71">
        <v>2030</v>
      </c>
      <c r="I560" s="7">
        <v>0</v>
      </c>
      <c r="J560" s="7">
        <v>0</v>
      </c>
      <c r="K560" s="264">
        <f t="shared" si="1159"/>
        <v>0</v>
      </c>
      <c r="L560" s="7">
        <v>2400000</v>
      </c>
      <c r="M560" s="7">
        <v>0</v>
      </c>
      <c r="N560" s="264">
        <f t="shared" si="1160"/>
        <v>2400000</v>
      </c>
      <c r="O560" s="83">
        <v>2400000</v>
      </c>
      <c r="P560" s="7">
        <v>0</v>
      </c>
      <c r="Q560" s="264">
        <f t="shared" si="1161"/>
        <v>2400000</v>
      </c>
      <c r="R560" s="83">
        <v>2400000</v>
      </c>
      <c r="S560" s="7">
        <v>0</v>
      </c>
      <c r="T560" s="270">
        <f t="shared" si="1162"/>
        <v>2400000</v>
      </c>
      <c r="U560" s="83">
        <v>2400000</v>
      </c>
      <c r="V560" s="83">
        <v>0</v>
      </c>
      <c r="W560" s="264">
        <f t="shared" si="1163"/>
        <v>2400000</v>
      </c>
      <c r="X560" s="83">
        <v>2400000</v>
      </c>
      <c r="Y560" s="83">
        <v>0</v>
      </c>
      <c r="Z560" s="264">
        <f t="shared" si="1177"/>
        <v>2400000</v>
      </c>
      <c r="AA560" s="83">
        <v>2400000</v>
      </c>
      <c r="AB560" s="83">
        <v>0</v>
      </c>
      <c r="AC560" s="264">
        <f t="shared" si="1178"/>
        <v>2400000</v>
      </c>
      <c r="AD560" s="83">
        <f t="shared" si="1164"/>
        <v>14400000</v>
      </c>
      <c r="AE560" s="83">
        <f t="shared" si="1164"/>
        <v>0</v>
      </c>
      <c r="AF560" s="264">
        <f>AD560+AE560</f>
        <v>14400000</v>
      </c>
      <c r="AG560" s="83">
        <f>2400000*2</f>
        <v>4800000</v>
      </c>
      <c r="AH560" s="83">
        <v>0</v>
      </c>
      <c r="AI560" s="264">
        <f t="shared" si="1165"/>
        <v>4800000</v>
      </c>
      <c r="AJ560" s="83">
        <v>0</v>
      </c>
      <c r="AK560" s="83">
        <v>0</v>
      </c>
      <c r="AL560" s="83"/>
      <c r="AM560" s="264">
        <f t="shared" si="1170"/>
        <v>0</v>
      </c>
      <c r="AN560" s="83">
        <f>2400000*4</f>
        <v>9600000</v>
      </c>
      <c r="AO560" s="83"/>
      <c r="AP560" s="264">
        <f t="shared" si="1166"/>
        <v>9600000</v>
      </c>
      <c r="AQ560" s="170">
        <f t="shared" si="1167"/>
        <v>0</v>
      </c>
      <c r="AR560" s="47"/>
    </row>
    <row r="561" spans="2:45" ht="61.15" customHeight="1">
      <c r="B561" s="659" t="s">
        <v>1171</v>
      </c>
      <c r="C561" s="354" t="s">
        <v>1175</v>
      </c>
      <c r="D561" s="177"/>
      <c r="E561" s="659" t="s">
        <v>1176</v>
      </c>
      <c r="F561" s="659" t="s">
        <v>370</v>
      </c>
      <c r="G561" s="447">
        <v>2024</v>
      </c>
      <c r="H561" s="71">
        <v>2030</v>
      </c>
      <c r="I561" s="7">
        <v>0</v>
      </c>
      <c r="J561" s="7">
        <v>0</v>
      </c>
      <c r="K561" s="264">
        <f t="shared" si="1159"/>
        <v>0</v>
      </c>
      <c r="L561" s="7">
        <v>3260131</v>
      </c>
      <c r="M561" s="7">
        <v>0</v>
      </c>
      <c r="N561" s="270">
        <f t="shared" si="1160"/>
        <v>3260131</v>
      </c>
      <c r="O561" s="83">
        <v>3260131</v>
      </c>
      <c r="P561" s="7">
        <v>0</v>
      </c>
      <c r="Q561" s="270">
        <f t="shared" si="1161"/>
        <v>3260131</v>
      </c>
      <c r="R561" s="83">
        <v>3260131</v>
      </c>
      <c r="S561" s="7">
        <v>0</v>
      </c>
      <c r="T561" s="270">
        <f t="shared" si="1162"/>
        <v>3260131</v>
      </c>
      <c r="U561" s="83">
        <v>3260131</v>
      </c>
      <c r="V561" s="83">
        <v>0</v>
      </c>
      <c r="W561" s="264">
        <f t="shared" si="1163"/>
        <v>3260131</v>
      </c>
      <c r="X561" s="83">
        <v>3260131</v>
      </c>
      <c r="Y561" s="83">
        <v>0</v>
      </c>
      <c r="Z561" s="264">
        <f t="shared" si="1177"/>
        <v>3260131</v>
      </c>
      <c r="AA561" s="83">
        <v>3260131</v>
      </c>
      <c r="AB561" s="83">
        <v>0</v>
      </c>
      <c r="AC561" s="264">
        <f t="shared" si="1178"/>
        <v>3260131</v>
      </c>
      <c r="AD561" s="83">
        <f t="shared" si="1164"/>
        <v>19560786</v>
      </c>
      <c r="AE561" s="83">
        <f t="shared" si="1164"/>
        <v>0</v>
      </c>
      <c r="AF561" s="264">
        <f>AD561+AE561</f>
        <v>19560786</v>
      </c>
      <c r="AG561" s="83">
        <f>3260131*2</f>
        <v>6520262</v>
      </c>
      <c r="AH561" s="83">
        <v>0</v>
      </c>
      <c r="AI561" s="264">
        <f t="shared" si="1165"/>
        <v>6520262</v>
      </c>
      <c r="AJ561" s="83">
        <v>0</v>
      </c>
      <c r="AK561" s="83">
        <v>0</v>
      </c>
      <c r="AL561" s="83"/>
      <c r="AM561" s="264">
        <f t="shared" si="1170"/>
        <v>0</v>
      </c>
      <c r="AN561" s="83">
        <f>3260131*4</f>
        <v>13040524</v>
      </c>
      <c r="AO561" s="83">
        <v>0</v>
      </c>
      <c r="AP561" s="264">
        <f t="shared" si="1166"/>
        <v>13040524</v>
      </c>
      <c r="AQ561" s="170">
        <f t="shared" si="1167"/>
        <v>0</v>
      </c>
      <c r="AR561" s="47"/>
    </row>
    <row r="562" spans="2:45" s="614" customFormat="1" ht="60" customHeight="1">
      <c r="B562" s="709"/>
      <c r="C562" s="470" t="s">
        <v>30</v>
      </c>
      <c r="D562" s="708"/>
      <c r="E562" s="709"/>
      <c r="F562" s="709"/>
      <c r="G562" s="206"/>
      <c r="H562" s="206"/>
      <c r="I562" s="472">
        <f>SUM(I548,I552,I558)</f>
        <v>3588453</v>
      </c>
      <c r="J562" s="472">
        <f t="shared" ref="J562:AQ562" si="1179">SUM(J548,J552,J558)</f>
        <v>0</v>
      </c>
      <c r="K562" s="484">
        <f t="shared" si="1179"/>
        <v>3588453</v>
      </c>
      <c r="L562" s="472">
        <f t="shared" si="1179"/>
        <v>9191939</v>
      </c>
      <c r="M562" s="472">
        <f t="shared" si="1179"/>
        <v>0</v>
      </c>
      <c r="N562" s="484">
        <f t="shared" si="1179"/>
        <v>9191939</v>
      </c>
      <c r="O562" s="484">
        <f t="shared" si="1179"/>
        <v>8648584</v>
      </c>
      <c r="P562" s="472">
        <f t="shared" si="1179"/>
        <v>184000000</v>
      </c>
      <c r="Q562" s="484">
        <f t="shared" si="1179"/>
        <v>192648584</v>
      </c>
      <c r="R562" s="484">
        <f t="shared" si="1179"/>
        <v>8648584</v>
      </c>
      <c r="S562" s="472">
        <f t="shared" si="1179"/>
        <v>0</v>
      </c>
      <c r="T562" s="484">
        <f t="shared" si="1179"/>
        <v>8648584</v>
      </c>
      <c r="U562" s="484">
        <f t="shared" si="1179"/>
        <v>8648584</v>
      </c>
      <c r="V562" s="484">
        <f t="shared" si="1179"/>
        <v>0</v>
      </c>
      <c r="W562" s="484">
        <f t="shared" si="1179"/>
        <v>8648584</v>
      </c>
      <c r="X562" s="484">
        <f t="shared" si="1179"/>
        <v>8648584</v>
      </c>
      <c r="Y562" s="484">
        <f t="shared" si="1179"/>
        <v>0</v>
      </c>
      <c r="Z562" s="484">
        <f t="shared" si="1179"/>
        <v>8648584</v>
      </c>
      <c r="AA562" s="484">
        <f t="shared" si="1179"/>
        <v>8648584</v>
      </c>
      <c r="AB562" s="484">
        <f t="shared" si="1179"/>
        <v>0</v>
      </c>
      <c r="AC562" s="484">
        <f t="shared" si="1179"/>
        <v>8648584</v>
      </c>
      <c r="AD562" s="484">
        <f t="shared" si="1179"/>
        <v>56023312</v>
      </c>
      <c r="AE562" s="484">
        <f t="shared" si="1179"/>
        <v>184000000</v>
      </c>
      <c r="AF562" s="484">
        <f t="shared" si="1179"/>
        <v>240023312</v>
      </c>
      <c r="AG562" s="484">
        <f t="shared" si="1179"/>
        <v>21428976</v>
      </c>
      <c r="AH562" s="484">
        <f t="shared" si="1179"/>
        <v>0</v>
      </c>
      <c r="AI562" s="484">
        <f t="shared" si="1179"/>
        <v>21428976</v>
      </c>
      <c r="AJ562" s="484">
        <f t="shared" si="1179"/>
        <v>0</v>
      </c>
      <c r="AK562" s="484">
        <f t="shared" si="1179"/>
        <v>0</v>
      </c>
      <c r="AL562" s="484"/>
      <c r="AM562" s="484">
        <f t="shared" si="1179"/>
        <v>0</v>
      </c>
      <c r="AN562" s="484">
        <f t="shared" si="1179"/>
        <v>34594336</v>
      </c>
      <c r="AO562" s="484">
        <f t="shared" si="1179"/>
        <v>0</v>
      </c>
      <c r="AP562" s="484">
        <f t="shared" si="1179"/>
        <v>34594336</v>
      </c>
      <c r="AQ562" s="239">
        <f t="shared" si="1179"/>
        <v>-184000000</v>
      </c>
      <c r="AR562" s="615"/>
    </row>
    <row r="563" spans="2:45" ht="64.5" customHeight="1">
      <c r="B563" s="304">
        <v>4.2</v>
      </c>
      <c r="C563" s="869" t="s">
        <v>1425</v>
      </c>
      <c r="D563" s="870"/>
      <c r="E563" s="228"/>
      <c r="F563" s="228"/>
      <c r="G563" s="228"/>
      <c r="H563" s="228"/>
      <c r="I563" s="305"/>
      <c r="J563" s="305"/>
      <c r="K563" s="305"/>
      <c r="L563" s="305"/>
      <c r="M563" s="305"/>
      <c r="N563" s="305"/>
      <c r="O563" s="305"/>
      <c r="P563" s="305"/>
      <c r="Q563" s="305"/>
      <c r="R563" s="305"/>
      <c r="S563" s="305"/>
      <c r="T563" s="305"/>
      <c r="U563" s="305"/>
      <c r="V563" s="305"/>
      <c r="W563" s="305"/>
      <c r="X563" s="305"/>
      <c r="Y563" s="305"/>
      <c r="Z563" s="305"/>
      <c r="AA563" s="305"/>
      <c r="AB563" s="305"/>
      <c r="AC563" s="305"/>
      <c r="AD563" s="305"/>
      <c r="AE563" s="305"/>
      <c r="AF563" s="305"/>
      <c r="AG563" s="305"/>
      <c r="AH563" s="305"/>
      <c r="AI563" s="305"/>
      <c r="AJ563" s="305"/>
      <c r="AK563" s="305"/>
      <c r="AL563" s="305"/>
      <c r="AM563" s="305"/>
      <c r="AN563" s="305"/>
      <c r="AO563" s="305"/>
      <c r="AP563" s="305"/>
      <c r="AQ563" s="306"/>
      <c r="AR563" s="47"/>
    </row>
    <row r="564" spans="2:45" ht="24.75" customHeight="1">
      <c r="B564" s="61"/>
      <c r="C564" s="62" t="s">
        <v>68</v>
      </c>
      <c r="D564" s="92"/>
      <c r="E564" s="93"/>
      <c r="F564" s="93"/>
      <c r="G564" s="93"/>
      <c r="H564" s="93"/>
      <c r="I564" s="83"/>
      <c r="J564" s="83"/>
      <c r="K564" s="83"/>
      <c r="L564" s="83"/>
      <c r="M564" s="83"/>
      <c r="N564" s="83"/>
      <c r="O564" s="83"/>
      <c r="P564" s="83"/>
      <c r="Q564" s="83"/>
      <c r="R564" s="83"/>
      <c r="S564" s="83"/>
      <c r="T564" s="83"/>
      <c r="U564" s="83"/>
      <c r="V564" s="83"/>
      <c r="W564" s="83"/>
      <c r="X564" s="83"/>
      <c r="Y564" s="83"/>
      <c r="Z564" s="83"/>
      <c r="AA564" s="83"/>
      <c r="AB564" s="83"/>
      <c r="AC564" s="83"/>
      <c r="AD564" s="83"/>
      <c r="AE564" s="83"/>
      <c r="AF564" s="83"/>
      <c r="AG564" s="83"/>
      <c r="AH564" s="83"/>
      <c r="AI564" s="83"/>
      <c r="AJ564" s="83"/>
      <c r="AK564" s="83"/>
      <c r="AL564" s="83"/>
      <c r="AM564" s="83"/>
      <c r="AN564" s="83"/>
      <c r="AO564" s="83"/>
      <c r="AP564" s="83"/>
      <c r="AQ564" s="112"/>
      <c r="AR564" s="47"/>
    </row>
    <row r="565" spans="2:45" ht="65.25" customHeight="1">
      <c r="B565" s="223" t="s">
        <v>20</v>
      </c>
      <c r="C565" s="258" t="s">
        <v>1426</v>
      </c>
      <c r="D565" s="209"/>
      <c r="E565" s="660" t="s">
        <v>541</v>
      </c>
      <c r="F565" s="661"/>
      <c r="G565" s="661">
        <v>2024</v>
      </c>
      <c r="H565" s="192">
        <v>2025</v>
      </c>
      <c r="I565" s="189">
        <f>SUM(I566:I567)</f>
        <v>1086710</v>
      </c>
      <c r="J565" s="189">
        <f>SUM(J566:J567)</f>
        <v>0</v>
      </c>
      <c r="K565" s="197">
        <f t="shared" si="1159"/>
        <v>1086710</v>
      </c>
      <c r="L565" s="189">
        <f>SUM(L566:L567)</f>
        <v>2173421</v>
      </c>
      <c r="M565" s="189">
        <f>SUM(M566:M567)</f>
        <v>0</v>
      </c>
      <c r="N565" s="197">
        <f t="shared" si="1160"/>
        <v>2173421</v>
      </c>
      <c r="O565" s="189">
        <f>SUM(O566:O567)</f>
        <v>0</v>
      </c>
      <c r="P565" s="189">
        <f>SUM(P566:P567)</f>
        <v>0</v>
      </c>
      <c r="Q565" s="226">
        <f t="shared" si="1161"/>
        <v>0</v>
      </c>
      <c r="R565" s="189">
        <f>SUM(R566:R567)</f>
        <v>0</v>
      </c>
      <c r="S565" s="189">
        <f>SUM(S566:S567)</f>
        <v>0</v>
      </c>
      <c r="T565" s="226">
        <f t="shared" si="1162"/>
        <v>0</v>
      </c>
      <c r="U565" s="189">
        <f>SUM(U566:U567)</f>
        <v>0</v>
      </c>
      <c r="V565" s="189">
        <f>SUM(V566:V567)</f>
        <v>0</v>
      </c>
      <c r="W565" s="214">
        <f t="shared" si="1163"/>
        <v>0</v>
      </c>
      <c r="X565" s="214">
        <f>SUM(X566:X567)</f>
        <v>0</v>
      </c>
      <c r="Y565" s="214">
        <f>SUM(Y566:Y567)</f>
        <v>0</v>
      </c>
      <c r="Z565" s="214">
        <f>SUM(X565:Y565)</f>
        <v>0</v>
      </c>
      <c r="AA565" s="214">
        <f>SUM(AA566:AA567)</f>
        <v>0</v>
      </c>
      <c r="AB565" s="214">
        <f>SUM(AB566:AB567)</f>
        <v>0</v>
      </c>
      <c r="AC565" s="214">
        <f>SUM(AA565:AB565)</f>
        <v>0</v>
      </c>
      <c r="AD565" s="214">
        <f t="shared" si="1164"/>
        <v>3260131</v>
      </c>
      <c r="AE565" s="214">
        <f t="shared" si="1164"/>
        <v>0</v>
      </c>
      <c r="AF565" s="214">
        <f>SUM(AD565:AE565)</f>
        <v>3260131</v>
      </c>
      <c r="AG565" s="189">
        <f>SUM(AG566:AG567)</f>
        <v>3260131</v>
      </c>
      <c r="AH565" s="189">
        <f>SUM(AH566:AH567)</f>
        <v>0</v>
      </c>
      <c r="AI565" s="214">
        <f t="shared" si="1165"/>
        <v>3260131</v>
      </c>
      <c r="AJ565" s="189">
        <f>SUM(AJ566:AJ567)</f>
        <v>0</v>
      </c>
      <c r="AK565" s="189">
        <f>SUM(AK566:AK567)</f>
        <v>0</v>
      </c>
      <c r="AL565" s="214"/>
      <c r="AM565" s="214">
        <f>AJ565+AK565</f>
        <v>0</v>
      </c>
      <c r="AN565" s="189">
        <f>SUM(AN566:AN567)</f>
        <v>0</v>
      </c>
      <c r="AO565" s="189">
        <f>SUM(AO566:AO567)</f>
        <v>0</v>
      </c>
      <c r="AP565" s="214">
        <f t="shared" si="1166"/>
        <v>0</v>
      </c>
      <c r="AQ565" s="227">
        <f t="shared" si="1167"/>
        <v>0</v>
      </c>
      <c r="AR565" s="47"/>
    </row>
    <row r="566" spans="2:45" ht="65.25" customHeight="1">
      <c r="B566" s="52" t="s">
        <v>166</v>
      </c>
      <c r="C566" s="337" t="s">
        <v>1427</v>
      </c>
      <c r="D566" s="99"/>
      <c r="E566" s="325" t="s">
        <v>541</v>
      </c>
      <c r="F566" s="39"/>
      <c r="G566" s="71">
        <v>2024</v>
      </c>
      <c r="H566" s="71">
        <v>2024</v>
      </c>
      <c r="I566" s="7">
        <v>1086710</v>
      </c>
      <c r="J566" s="7">
        <v>0</v>
      </c>
      <c r="K566" s="264">
        <f t="shared" si="1159"/>
        <v>1086710</v>
      </c>
      <c r="L566" s="7">
        <v>0</v>
      </c>
      <c r="M566" s="7">
        <v>0</v>
      </c>
      <c r="N566" s="264">
        <f t="shared" si="1160"/>
        <v>0</v>
      </c>
      <c r="O566" s="83">
        <v>0</v>
      </c>
      <c r="P566" s="83">
        <v>0</v>
      </c>
      <c r="Q566" s="264">
        <f t="shared" si="1161"/>
        <v>0</v>
      </c>
      <c r="R566" s="83">
        <v>0</v>
      </c>
      <c r="S566" s="83">
        <v>0</v>
      </c>
      <c r="T566" s="264">
        <f t="shared" si="1162"/>
        <v>0</v>
      </c>
      <c r="U566" s="83">
        <v>0</v>
      </c>
      <c r="V566" s="83">
        <v>0</v>
      </c>
      <c r="W566" s="264">
        <f t="shared" si="1163"/>
        <v>0</v>
      </c>
      <c r="X566" s="83">
        <v>0</v>
      </c>
      <c r="Y566" s="83">
        <v>0</v>
      </c>
      <c r="Z566" s="264">
        <f t="shared" ref="Z566:Z567" si="1180">SUM(X566:Y566)</f>
        <v>0</v>
      </c>
      <c r="AA566" s="83">
        <v>0</v>
      </c>
      <c r="AB566" s="83">
        <v>0</v>
      </c>
      <c r="AC566" s="264">
        <f t="shared" ref="AC566:AC567" si="1181">SUM(AA566:AB566)</f>
        <v>0</v>
      </c>
      <c r="AD566" s="83">
        <f t="shared" si="1164"/>
        <v>1086710</v>
      </c>
      <c r="AE566" s="83">
        <f t="shared" si="1164"/>
        <v>0</v>
      </c>
      <c r="AF566" s="264">
        <f>AD566+AE566</f>
        <v>1086710</v>
      </c>
      <c r="AG566" s="83">
        <f>1086710</f>
        <v>1086710</v>
      </c>
      <c r="AH566" s="83">
        <v>0</v>
      </c>
      <c r="AI566" s="264">
        <f t="shared" si="1165"/>
        <v>1086710</v>
      </c>
      <c r="AJ566" s="83">
        <v>0</v>
      </c>
      <c r="AK566" s="83">
        <v>0</v>
      </c>
      <c r="AL566" s="83"/>
      <c r="AM566" s="264">
        <f t="shared" ref="AM566:AM567" si="1182">AJ566+AK566</f>
        <v>0</v>
      </c>
      <c r="AN566" s="83">
        <v>0</v>
      </c>
      <c r="AO566" s="83">
        <v>0</v>
      </c>
      <c r="AP566" s="264">
        <f t="shared" si="1166"/>
        <v>0</v>
      </c>
      <c r="AQ566" s="170">
        <f>SUM(AP566+AM566+AI566)-AF566</f>
        <v>0</v>
      </c>
      <c r="AR566" s="47"/>
    </row>
    <row r="567" spans="2:45" ht="65.25" customHeight="1" thickBot="1">
      <c r="B567" s="52" t="s">
        <v>167</v>
      </c>
      <c r="C567" s="338" t="s">
        <v>1428</v>
      </c>
      <c r="D567" s="99"/>
      <c r="E567" s="389" t="s">
        <v>541</v>
      </c>
      <c r="F567" s="39"/>
      <c r="G567" s="71">
        <v>2025</v>
      </c>
      <c r="H567" s="71">
        <v>2025</v>
      </c>
      <c r="I567" s="7">
        <v>0</v>
      </c>
      <c r="J567" s="7">
        <v>0</v>
      </c>
      <c r="K567" s="264">
        <f t="shared" si="1159"/>
        <v>0</v>
      </c>
      <c r="L567" s="7">
        <v>2173421</v>
      </c>
      <c r="M567" s="7">
        <v>0</v>
      </c>
      <c r="N567" s="264">
        <f t="shared" si="1160"/>
        <v>2173421</v>
      </c>
      <c r="O567" s="83">
        <v>0</v>
      </c>
      <c r="P567" s="83">
        <v>0</v>
      </c>
      <c r="Q567" s="264">
        <f t="shared" si="1161"/>
        <v>0</v>
      </c>
      <c r="R567" s="83">
        <v>0</v>
      </c>
      <c r="S567" s="83">
        <v>0</v>
      </c>
      <c r="T567" s="264">
        <f t="shared" si="1162"/>
        <v>0</v>
      </c>
      <c r="U567" s="83">
        <v>0</v>
      </c>
      <c r="V567" s="83">
        <v>0</v>
      </c>
      <c r="W567" s="264">
        <f t="shared" si="1163"/>
        <v>0</v>
      </c>
      <c r="X567" s="83">
        <v>0</v>
      </c>
      <c r="Y567" s="83">
        <v>0</v>
      </c>
      <c r="Z567" s="264">
        <f t="shared" si="1180"/>
        <v>0</v>
      </c>
      <c r="AA567" s="83">
        <v>0</v>
      </c>
      <c r="AB567" s="83">
        <v>0</v>
      </c>
      <c r="AC567" s="264">
        <f t="shared" si="1181"/>
        <v>0</v>
      </c>
      <c r="AD567" s="83">
        <f t="shared" ref="AD567:AE571" si="1183">I567+L567+O567+R567+U567+X567+AA567</f>
        <v>2173421</v>
      </c>
      <c r="AE567" s="83">
        <f t="shared" si="1183"/>
        <v>0</v>
      </c>
      <c r="AF567" s="264">
        <f t="shared" ref="AF567" si="1184">AD567+AE567</f>
        <v>2173421</v>
      </c>
      <c r="AG567" s="83">
        <v>2173421</v>
      </c>
      <c r="AH567" s="83">
        <v>0</v>
      </c>
      <c r="AI567" s="264">
        <f t="shared" si="1165"/>
        <v>2173421</v>
      </c>
      <c r="AJ567" s="83">
        <v>0</v>
      </c>
      <c r="AK567" s="83">
        <v>0</v>
      </c>
      <c r="AL567" s="83"/>
      <c r="AM567" s="264">
        <f t="shared" si="1182"/>
        <v>0</v>
      </c>
      <c r="AN567" s="83">
        <v>0</v>
      </c>
      <c r="AO567" s="83">
        <v>0</v>
      </c>
      <c r="AP567" s="264">
        <f t="shared" si="1166"/>
        <v>0</v>
      </c>
      <c r="AQ567" s="170">
        <f t="shared" si="1167"/>
        <v>0</v>
      </c>
      <c r="AR567" s="47"/>
    </row>
    <row r="568" spans="2:45" ht="65.25" customHeight="1" thickBot="1">
      <c r="B568" s="213" t="s">
        <v>17</v>
      </c>
      <c r="C568" s="258" t="s">
        <v>1429</v>
      </c>
      <c r="D568" s="209"/>
      <c r="E568" s="223" t="s">
        <v>541</v>
      </c>
      <c r="F568" s="192"/>
      <c r="G568" s="185">
        <v>2025</v>
      </c>
      <c r="H568" s="185">
        <v>2030</v>
      </c>
      <c r="I568" s="189">
        <f>SUM(I569:I571)</f>
        <v>0</v>
      </c>
      <c r="J568" s="189">
        <f>SUM(J569:J571)</f>
        <v>0</v>
      </c>
      <c r="K568" s="197">
        <f>SUM(I568:J568)</f>
        <v>0</v>
      </c>
      <c r="L568" s="189">
        <f>SUM(L569:L571)</f>
        <v>4686710</v>
      </c>
      <c r="M568" s="189">
        <f>SUM(M569:M571)</f>
        <v>0</v>
      </c>
      <c r="N568" s="197">
        <f>SUM(L568:M568)</f>
        <v>4686710</v>
      </c>
      <c r="O568" s="197">
        <f>SUM(O569:O571)</f>
        <v>2400000</v>
      </c>
      <c r="P568" s="197">
        <f>SUM(P569:P571)</f>
        <v>0</v>
      </c>
      <c r="Q568" s="197">
        <f>SUM(O568:P568)</f>
        <v>2400000</v>
      </c>
      <c r="R568" s="197">
        <f>SUM(R569:R571)</f>
        <v>2400000</v>
      </c>
      <c r="S568" s="197">
        <f>SUM(S569:S571)</f>
        <v>0</v>
      </c>
      <c r="T568" s="197">
        <f>SUM(R568:S568)</f>
        <v>2400000</v>
      </c>
      <c r="U568" s="197">
        <f>SUM(U569:U571)</f>
        <v>2400000</v>
      </c>
      <c r="V568" s="197">
        <f>SUM(V569:V571)</f>
        <v>0</v>
      </c>
      <c r="W568" s="197">
        <f>SUM(U568:V568)</f>
        <v>2400000</v>
      </c>
      <c r="X568" s="197">
        <f>SUM(X569:X571)</f>
        <v>2400000</v>
      </c>
      <c r="Y568" s="197">
        <f>SUM(Y569:Y571)</f>
        <v>0</v>
      </c>
      <c r="Z568" s="197">
        <f>SUM(X568:Y568)</f>
        <v>2400000</v>
      </c>
      <c r="AA568" s="197">
        <f>SUM(AA569:AA571)</f>
        <v>2400000</v>
      </c>
      <c r="AB568" s="197">
        <f>SUM(AB569:AB571)</f>
        <v>0</v>
      </c>
      <c r="AC568" s="197">
        <f>SUM(AA568:AB568)</f>
        <v>2400000</v>
      </c>
      <c r="AD568" s="197">
        <f t="shared" si="1183"/>
        <v>16686710</v>
      </c>
      <c r="AE568" s="197">
        <f t="shared" si="1183"/>
        <v>0</v>
      </c>
      <c r="AF568" s="197">
        <f>SUM(AD568:AE568)</f>
        <v>16686710</v>
      </c>
      <c r="AG568" s="197">
        <f>SUM(AG569:AG571)</f>
        <v>4686710</v>
      </c>
      <c r="AH568" s="197">
        <f>SUM(AH569:AH571)</f>
        <v>0</v>
      </c>
      <c r="AI568" s="197">
        <f>SUM(AG568:AH568)</f>
        <v>4686710</v>
      </c>
      <c r="AJ568" s="197">
        <f>SUM(AJ569:AJ571)</f>
        <v>0</v>
      </c>
      <c r="AK568" s="197">
        <f>SUM(AK569:AK571)</f>
        <v>0</v>
      </c>
      <c r="AL568" s="197"/>
      <c r="AM568" s="197">
        <f>AJ568+AK568</f>
        <v>0</v>
      </c>
      <c r="AN568" s="197">
        <f>SUM(AN569:AN571)</f>
        <v>9600000</v>
      </c>
      <c r="AO568" s="197">
        <f>SUM(AO569:AO571)</f>
        <v>0</v>
      </c>
      <c r="AP568" s="197">
        <f>SUM(AN568:AO568)</f>
        <v>9600000</v>
      </c>
      <c r="AQ568" s="211">
        <f t="shared" si="1167"/>
        <v>-2400000</v>
      </c>
      <c r="AR568" s="47"/>
    </row>
    <row r="569" spans="2:45" ht="94.9" customHeight="1">
      <c r="B569" s="52" t="s">
        <v>168</v>
      </c>
      <c r="C569" s="352" t="s">
        <v>1430</v>
      </c>
      <c r="D569" s="99"/>
      <c r="E569" s="120" t="s">
        <v>541</v>
      </c>
      <c r="F569" s="39"/>
      <c r="G569" s="71">
        <v>2025</v>
      </c>
      <c r="H569" s="71">
        <v>2025</v>
      </c>
      <c r="I569" s="7">
        <v>0</v>
      </c>
      <c r="J569" s="7">
        <v>0</v>
      </c>
      <c r="K569" s="264">
        <f t="shared" ref="K569:K571" si="1185">SUM(I569:J569)</f>
        <v>0</v>
      </c>
      <c r="L569" s="7">
        <v>1086710</v>
      </c>
      <c r="M569" s="7">
        <v>0</v>
      </c>
      <c r="N569" s="264">
        <f t="shared" ref="N569:N571" si="1186">SUM(L569:M569)</f>
        <v>1086710</v>
      </c>
      <c r="O569" s="83">
        <v>0</v>
      </c>
      <c r="P569" s="83">
        <v>0</v>
      </c>
      <c r="Q569" s="264">
        <f t="shared" ref="Q569:Q571" si="1187">SUM(O569:P569)</f>
        <v>0</v>
      </c>
      <c r="R569" s="83">
        <v>0</v>
      </c>
      <c r="S569" s="83">
        <v>0</v>
      </c>
      <c r="T569" s="264">
        <f t="shared" ref="T569:T571" si="1188">SUM(R569:S569)</f>
        <v>0</v>
      </c>
      <c r="U569" s="83"/>
      <c r="V569" s="83">
        <v>0</v>
      </c>
      <c r="W569" s="264">
        <f t="shared" ref="W569:W571" si="1189">SUM(U569:V569)</f>
        <v>0</v>
      </c>
      <c r="X569" s="83">
        <v>0</v>
      </c>
      <c r="Y569" s="83">
        <v>0</v>
      </c>
      <c r="Z569" s="264">
        <f t="shared" ref="Z569:Z571" si="1190">SUM(X569:Y569)</f>
        <v>0</v>
      </c>
      <c r="AA569" s="83">
        <v>0</v>
      </c>
      <c r="AB569" s="83">
        <v>0</v>
      </c>
      <c r="AC569" s="264">
        <f t="shared" ref="AC569:AC571" si="1191">SUM(AA569:AB569)</f>
        <v>0</v>
      </c>
      <c r="AD569" s="83">
        <f t="shared" si="1183"/>
        <v>1086710</v>
      </c>
      <c r="AE569" s="83">
        <f t="shared" si="1183"/>
        <v>0</v>
      </c>
      <c r="AF569" s="264">
        <f t="shared" ref="AF569:AF571" si="1192">SUM(AD569:AE569)</f>
        <v>1086710</v>
      </c>
      <c r="AG569" s="83">
        <v>1086710</v>
      </c>
      <c r="AH569" s="83">
        <v>0</v>
      </c>
      <c r="AI569" s="264">
        <f t="shared" ref="AI569:AI571" si="1193">SUM(AG569:AH569)</f>
        <v>1086710</v>
      </c>
      <c r="AJ569" s="83">
        <v>0</v>
      </c>
      <c r="AK569" s="83">
        <v>0</v>
      </c>
      <c r="AL569" s="83"/>
      <c r="AM569" s="264">
        <f t="shared" ref="AM569:AM571" si="1194">AJ569+AK569</f>
        <v>0</v>
      </c>
      <c r="AN569" s="83"/>
      <c r="AO569" s="83">
        <v>0</v>
      </c>
      <c r="AP569" s="264">
        <f t="shared" ref="AP569:AP571" si="1195">SUM(AN569:AO569)</f>
        <v>0</v>
      </c>
      <c r="AQ569" s="170">
        <f t="shared" si="1167"/>
        <v>0</v>
      </c>
      <c r="AR569" s="47"/>
    </row>
    <row r="570" spans="2:45" ht="65.25" customHeight="1">
      <c r="B570" s="52" t="s">
        <v>169</v>
      </c>
      <c r="C570" s="353" t="s">
        <v>1431</v>
      </c>
      <c r="D570" s="99"/>
      <c r="E570" s="120" t="s">
        <v>541</v>
      </c>
      <c r="F570" s="39"/>
      <c r="G570" s="71">
        <v>2025</v>
      </c>
      <c r="H570" s="71">
        <v>2025</v>
      </c>
      <c r="I570" s="7">
        <v>0</v>
      </c>
      <c r="J570" s="7">
        <v>0</v>
      </c>
      <c r="K570" s="264">
        <f t="shared" si="1185"/>
        <v>0</v>
      </c>
      <c r="L570" s="7">
        <v>1200000</v>
      </c>
      <c r="M570" s="7">
        <v>0</v>
      </c>
      <c r="N570" s="264">
        <f t="shared" si="1186"/>
        <v>1200000</v>
      </c>
      <c r="O570" s="83">
        <v>0</v>
      </c>
      <c r="P570" s="83">
        <v>0</v>
      </c>
      <c r="Q570" s="264">
        <f t="shared" si="1187"/>
        <v>0</v>
      </c>
      <c r="R570" s="83">
        <v>0</v>
      </c>
      <c r="S570" s="83">
        <v>0</v>
      </c>
      <c r="T570" s="264">
        <f t="shared" si="1188"/>
        <v>0</v>
      </c>
      <c r="U570" s="83">
        <v>0</v>
      </c>
      <c r="V570" s="83">
        <v>0</v>
      </c>
      <c r="W570" s="264">
        <f t="shared" si="1189"/>
        <v>0</v>
      </c>
      <c r="X570" s="83">
        <v>0</v>
      </c>
      <c r="Y570" s="83">
        <v>0</v>
      </c>
      <c r="Z570" s="264">
        <f t="shared" si="1190"/>
        <v>0</v>
      </c>
      <c r="AA570" s="83">
        <v>0</v>
      </c>
      <c r="AB570" s="83">
        <v>0</v>
      </c>
      <c r="AC570" s="264">
        <f t="shared" si="1191"/>
        <v>0</v>
      </c>
      <c r="AD570" s="83">
        <f t="shared" si="1183"/>
        <v>1200000</v>
      </c>
      <c r="AE570" s="83">
        <f t="shared" si="1183"/>
        <v>0</v>
      </c>
      <c r="AF570" s="264">
        <f t="shared" si="1192"/>
        <v>1200000</v>
      </c>
      <c r="AG570" s="83">
        <v>1200000</v>
      </c>
      <c r="AH570" s="83">
        <v>0</v>
      </c>
      <c r="AI570" s="264">
        <f t="shared" si="1193"/>
        <v>1200000</v>
      </c>
      <c r="AJ570" s="83">
        <v>0</v>
      </c>
      <c r="AK570" s="83">
        <v>0</v>
      </c>
      <c r="AL570" s="83"/>
      <c r="AM570" s="264">
        <f t="shared" si="1194"/>
        <v>0</v>
      </c>
      <c r="AN570" s="83">
        <v>0</v>
      </c>
      <c r="AO570" s="83">
        <v>0</v>
      </c>
      <c r="AP570" s="264">
        <f t="shared" si="1195"/>
        <v>0</v>
      </c>
      <c r="AQ570" s="170">
        <f t="shared" si="1167"/>
        <v>0</v>
      </c>
      <c r="AR570" s="47"/>
      <c r="AS570" s="759">
        <f>40*25000</f>
        <v>1000000</v>
      </c>
    </row>
    <row r="571" spans="2:45" ht="65.25" customHeight="1">
      <c r="B571" s="52" t="s">
        <v>244</v>
      </c>
      <c r="C571" s="353" t="s">
        <v>1432</v>
      </c>
      <c r="D571" s="99"/>
      <c r="E571" s="120" t="s">
        <v>541</v>
      </c>
      <c r="F571" s="39"/>
      <c r="G571" s="71">
        <v>2025</v>
      </c>
      <c r="H571" s="71">
        <v>2030</v>
      </c>
      <c r="I571" s="7">
        <v>0</v>
      </c>
      <c r="J571" s="7">
        <v>0</v>
      </c>
      <c r="K571" s="264">
        <f t="shared" si="1185"/>
        <v>0</v>
      </c>
      <c r="L571" s="7">
        <v>2400000</v>
      </c>
      <c r="M571" s="7">
        <v>0</v>
      </c>
      <c r="N571" s="264">
        <f t="shared" si="1186"/>
        <v>2400000</v>
      </c>
      <c r="O571" s="83">
        <v>2400000</v>
      </c>
      <c r="P571" s="83">
        <v>0</v>
      </c>
      <c r="Q571" s="264">
        <f t="shared" si="1187"/>
        <v>2400000</v>
      </c>
      <c r="R571" s="83">
        <v>2400000</v>
      </c>
      <c r="S571" s="83">
        <v>0</v>
      </c>
      <c r="T571" s="264">
        <f t="shared" si="1188"/>
        <v>2400000</v>
      </c>
      <c r="U571" s="83">
        <v>2400000</v>
      </c>
      <c r="V571" s="83">
        <v>0</v>
      </c>
      <c r="W571" s="264">
        <f t="shared" si="1189"/>
        <v>2400000</v>
      </c>
      <c r="X571" s="83">
        <v>2400000</v>
      </c>
      <c r="Y571" s="83">
        <v>0</v>
      </c>
      <c r="Z571" s="264">
        <f t="shared" si="1190"/>
        <v>2400000</v>
      </c>
      <c r="AA571" s="83">
        <v>2400000</v>
      </c>
      <c r="AB571" s="83">
        <v>0</v>
      </c>
      <c r="AC571" s="264">
        <f t="shared" si="1191"/>
        <v>2400000</v>
      </c>
      <c r="AD571" s="83">
        <f t="shared" si="1183"/>
        <v>14400000</v>
      </c>
      <c r="AE571" s="83">
        <f t="shared" si="1183"/>
        <v>0</v>
      </c>
      <c r="AF571" s="264">
        <f t="shared" si="1192"/>
        <v>14400000</v>
      </c>
      <c r="AG571" s="83">
        <f>2400000*1</f>
        <v>2400000</v>
      </c>
      <c r="AH571" s="83">
        <v>0</v>
      </c>
      <c r="AI571" s="264">
        <f t="shared" si="1193"/>
        <v>2400000</v>
      </c>
      <c r="AJ571" s="83">
        <v>0</v>
      </c>
      <c r="AK571" s="83">
        <v>0</v>
      </c>
      <c r="AL571" s="83"/>
      <c r="AM571" s="264">
        <f t="shared" si="1194"/>
        <v>0</v>
      </c>
      <c r="AN571" s="83">
        <f>2400000*4</f>
        <v>9600000</v>
      </c>
      <c r="AO571" s="83">
        <v>0</v>
      </c>
      <c r="AP571" s="264">
        <f t="shared" si="1195"/>
        <v>9600000</v>
      </c>
      <c r="AQ571" s="170">
        <f t="shared" si="1167"/>
        <v>-2400000</v>
      </c>
      <c r="AR571" s="47"/>
    </row>
    <row r="572" spans="2:45" ht="27.75" customHeight="1">
      <c r="B572" s="52"/>
      <c r="C572" s="66"/>
      <c r="D572" s="99"/>
      <c r="E572" s="120"/>
      <c r="F572" s="39"/>
      <c r="G572" s="121"/>
      <c r="H572" s="121"/>
      <c r="I572" s="7"/>
      <c r="J572" s="7"/>
      <c r="K572" s="83"/>
      <c r="L572" s="7"/>
      <c r="M572" s="7"/>
      <c r="N572" s="83"/>
      <c r="O572" s="83"/>
      <c r="P572" s="83"/>
      <c r="Q572" s="83"/>
      <c r="R572" s="83"/>
      <c r="S572" s="83"/>
      <c r="T572" s="83"/>
      <c r="U572" s="83"/>
      <c r="V572" s="83"/>
      <c r="W572" s="83"/>
      <c r="X572" s="83"/>
      <c r="Y572" s="83"/>
      <c r="Z572" s="83"/>
      <c r="AA572" s="83"/>
      <c r="AB572" s="83"/>
      <c r="AC572" s="83"/>
      <c r="AD572" s="83"/>
      <c r="AE572" s="83"/>
      <c r="AF572" s="83"/>
      <c r="AG572" s="83"/>
      <c r="AH572" s="83"/>
      <c r="AI572" s="83"/>
      <c r="AJ572" s="83"/>
      <c r="AK572" s="83"/>
      <c r="AL572" s="83"/>
      <c r="AM572" s="83"/>
      <c r="AN572" s="83"/>
      <c r="AO572" s="83"/>
      <c r="AP572" s="83"/>
      <c r="AQ572" s="69"/>
      <c r="AR572" s="14"/>
    </row>
    <row r="573" spans="2:45" ht="68.25" customHeight="1">
      <c r="B573" s="213" t="s">
        <v>19</v>
      </c>
      <c r="C573" s="263" t="s">
        <v>1433</v>
      </c>
      <c r="D573" s="209"/>
      <c r="E573" s="223" t="s">
        <v>611</v>
      </c>
      <c r="F573" s="192" t="s">
        <v>1436</v>
      </c>
      <c r="G573" s="192">
        <v>2024</v>
      </c>
      <c r="H573" s="192">
        <v>2030</v>
      </c>
      <c r="I573" s="189">
        <f>SUM(I574:I575)</f>
        <v>543355</v>
      </c>
      <c r="J573" s="189">
        <f>SUM(J574:J575)</f>
        <v>0</v>
      </c>
      <c r="K573" s="197">
        <f t="shared" ref="K573:K582" si="1196">SUM(I573:J573)</f>
        <v>543355</v>
      </c>
      <c r="L573" s="189">
        <f>SUM(L574:L575)</f>
        <v>543355</v>
      </c>
      <c r="M573" s="189">
        <f>SUM(M574:M575)</f>
        <v>0</v>
      </c>
      <c r="N573" s="197">
        <f t="shared" ref="N573:N582" si="1197">SUM(L573:M573)</f>
        <v>543355</v>
      </c>
      <c r="O573" s="189">
        <f>SUM(O574:O575)</f>
        <v>543355</v>
      </c>
      <c r="P573" s="189">
        <f>SUM(P574:P575)</f>
        <v>0</v>
      </c>
      <c r="Q573" s="197">
        <f t="shared" ref="Q573:Q582" si="1198">SUM(O573:P573)</f>
        <v>543355</v>
      </c>
      <c r="R573" s="189">
        <f>SUM(R574:R575)</f>
        <v>543355</v>
      </c>
      <c r="S573" s="189">
        <f>SUM(S574:S575)</f>
        <v>0</v>
      </c>
      <c r="T573" s="197">
        <f t="shared" ref="T573:T582" si="1199">SUM(R573:S573)</f>
        <v>543355</v>
      </c>
      <c r="U573" s="189">
        <f>SUM(U574:U575)</f>
        <v>0</v>
      </c>
      <c r="V573" s="189">
        <f>SUM(V574:V575)</f>
        <v>0</v>
      </c>
      <c r="W573" s="197">
        <f t="shared" ref="W573:W583" si="1200">SUM(U573:V573)</f>
        <v>0</v>
      </c>
      <c r="X573" s="197">
        <f>SUM(X574:X575)</f>
        <v>0</v>
      </c>
      <c r="Y573" s="197">
        <f>SUM(Y574:Y575)</f>
        <v>0</v>
      </c>
      <c r="Z573" s="197">
        <f>SUM(X573:Y573)</f>
        <v>0</v>
      </c>
      <c r="AA573" s="197">
        <f>SUM(AA574:AA575)</f>
        <v>0</v>
      </c>
      <c r="AB573" s="197">
        <f>SUM(AB574:AB575)</f>
        <v>0</v>
      </c>
      <c r="AC573" s="197">
        <f>SUM(AA573:AB573)</f>
        <v>0</v>
      </c>
      <c r="AD573" s="197">
        <f t="shared" ref="AD573:AD583" si="1201">I573+L573+O573+R573+U573+X573+AA573</f>
        <v>2173420</v>
      </c>
      <c r="AE573" s="197">
        <f t="shared" ref="AE573:AE583" si="1202">J573+M573+P573+S573+V573+Y573+AB573</f>
        <v>0</v>
      </c>
      <c r="AF573" s="197">
        <f t="shared" ref="AF573:AF582" si="1203">SUM(AD573:AE573)</f>
        <v>2173420</v>
      </c>
      <c r="AG573" s="189">
        <f>SUM(AG574:AG575)</f>
        <v>1630065</v>
      </c>
      <c r="AH573" s="189">
        <f>SUM(AH574:AH575)</f>
        <v>0</v>
      </c>
      <c r="AI573" s="197">
        <f t="shared" ref="AI573:AI582" si="1204">SUM(AG573:AH573)</f>
        <v>1630065</v>
      </c>
      <c r="AJ573" s="189">
        <f>SUM(AJ574:AJ575)</f>
        <v>0</v>
      </c>
      <c r="AK573" s="189">
        <f>SUM(AK574:AK575)</f>
        <v>0</v>
      </c>
      <c r="AL573" s="197"/>
      <c r="AM573" s="197">
        <f t="shared" ref="AM573:AM582" si="1205">SUM(AJ573:AL573)</f>
        <v>0</v>
      </c>
      <c r="AN573" s="189">
        <f>SUM(AN574:AN575)</f>
        <v>543355</v>
      </c>
      <c r="AO573" s="189">
        <f>SUM(AO574:AO575)</f>
        <v>0</v>
      </c>
      <c r="AP573" s="197">
        <f t="shared" ref="AP573:AP583" si="1206">SUM(AN573:AO573)</f>
        <v>543355</v>
      </c>
      <c r="AQ573" s="193">
        <f t="shared" ref="AQ573:AQ583" si="1207">SUM(AP573+AM573+AI573)-AF573</f>
        <v>0</v>
      </c>
    </row>
    <row r="574" spans="2:45" ht="68.25" customHeight="1">
      <c r="B574" s="52" t="s">
        <v>170</v>
      </c>
      <c r="C574" s="353" t="s">
        <v>1434</v>
      </c>
      <c r="D574" s="99"/>
      <c r="E574" s="330" t="s">
        <v>611</v>
      </c>
      <c r="F574" s="330" t="s">
        <v>1436</v>
      </c>
      <c r="G574" s="71">
        <v>2024</v>
      </c>
      <c r="H574" s="71">
        <v>2024</v>
      </c>
      <c r="I574" s="7">
        <v>543355</v>
      </c>
      <c r="J574" s="7">
        <v>0</v>
      </c>
      <c r="K574" s="264">
        <f>SUM(I574:J574)</f>
        <v>543355</v>
      </c>
      <c r="L574" s="7">
        <v>0</v>
      </c>
      <c r="M574" s="7">
        <v>0</v>
      </c>
      <c r="N574" s="264">
        <f>SUM(L574:M574)</f>
        <v>0</v>
      </c>
      <c r="O574" s="83">
        <v>0</v>
      </c>
      <c r="P574" s="83">
        <v>0</v>
      </c>
      <c r="Q574" s="264">
        <f>SUM(O574:P574)</f>
        <v>0</v>
      </c>
      <c r="R574" s="83">
        <v>0</v>
      </c>
      <c r="S574" s="83">
        <v>0</v>
      </c>
      <c r="T574" s="264">
        <f>SUM(R574:S574)</f>
        <v>0</v>
      </c>
      <c r="U574" s="83">
        <v>0</v>
      </c>
      <c r="V574" s="83">
        <v>0</v>
      </c>
      <c r="W574" s="264">
        <f t="shared" si="1200"/>
        <v>0</v>
      </c>
      <c r="X574" s="83">
        <v>0</v>
      </c>
      <c r="Y574" s="83">
        <v>0</v>
      </c>
      <c r="Z574" s="264">
        <f t="shared" ref="Z574:Z575" si="1208">SUM(X574:Y574)</f>
        <v>0</v>
      </c>
      <c r="AA574" s="83">
        <v>0</v>
      </c>
      <c r="AB574" s="83">
        <v>0</v>
      </c>
      <c r="AC574" s="264">
        <f t="shared" ref="AC574:AC575" si="1209">SUM(AA574:AB574)</f>
        <v>0</v>
      </c>
      <c r="AD574" s="83">
        <f t="shared" si="1201"/>
        <v>543355</v>
      </c>
      <c r="AE574" s="83">
        <f t="shared" si="1202"/>
        <v>0</v>
      </c>
      <c r="AF574" s="264">
        <f>AD574+AE574</f>
        <v>543355</v>
      </c>
      <c r="AG574" s="83">
        <v>543355</v>
      </c>
      <c r="AH574" s="83">
        <v>0</v>
      </c>
      <c r="AI574" s="264">
        <f>SUM(AG574:AH574)</f>
        <v>543355</v>
      </c>
      <c r="AJ574" s="83">
        <v>0</v>
      </c>
      <c r="AK574" s="83">
        <v>0</v>
      </c>
      <c r="AL574" s="83"/>
      <c r="AM574" s="264">
        <f t="shared" ref="AM574:AM583" si="1210">AJ574+AK574</f>
        <v>0</v>
      </c>
      <c r="AN574" s="83">
        <v>0</v>
      </c>
      <c r="AO574" s="83">
        <v>0</v>
      </c>
      <c r="AP574" s="264">
        <f t="shared" si="1206"/>
        <v>0</v>
      </c>
      <c r="AQ574" s="69">
        <f t="shared" si="1207"/>
        <v>0</v>
      </c>
    </row>
    <row r="575" spans="2:45" ht="68.25" customHeight="1">
      <c r="B575" s="52" t="s">
        <v>1416</v>
      </c>
      <c r="C575" s="353" t="s">
        <v>1435</v>
      </c>
      <c r="D575" s="99"/>
      <c r="E575" s="330" t="s">
        <v>611</v>
      </c>
      <c r="F575" s="330" t="s">
        <v>1436</v>
      </c>
      <c r="G575" s="71">
        <v>2024</v>
      </c>
      <c r="H575" s="71">
        <v>2027</v>
      </c>
      <c r="I575" s="7">
        <v>0</v>
      </c>
      <c r="J575" s="7">
        <v>0</v>
      </c>
      <c r="K575" s="264">
        <f t="shared" ref="K575" si="1211">SUM(I575:J575)</f>
        <v>0</v>
      </c>
      <c r="L575" s="7">
        <v>543355</v>
      </c>
      <c r="M575" s="7">
        <v>0</v>
      </c>
      <c r="N575" s="264">
        <f>SUM(L575:M575)</f>
        <v>543355</v>
      </c>
      <c r="O575" s="83">
        <v>543355</v>
      </c>
      <c r="P575" s="83">
        <v>0</v>
      </c>
      <c r="Q575" s="264">
        <f>SUM(O575:P575)</f>
        <v>543355</v>
      </c>
      <c r="R575" s="83">
        <v>543355</v>
      </c>
      <c r="S575" s="83">
        <v>0</v>
      </c>
      <c r="T575" s="264">
        <f t="shared" ref="T575" si="1212">SUM(R575:S575)</f>
        <v>543355</v>
      </c>
      <c r="U575" s="83">
        <v>0</v>
      </c>
      <c r="V575" s="83">
        <v>0</v>
      </c>
      <c r="W575" s="264">
        <f t="shared" si="1200"/>
        <v>0</v>
      </c>
      <c r="X575" s="83">
        <v>0</v>
      </c>
      <c r="Y575" s="83">
        <v>0</v>
      </c>
      <c r="Z575" s="264">
        <f t="shared" si="1208"/>
        <v>0</v>
      </c>
      <c r="AA575" s="83">
        <v>0</v>
      </c>
      <c r="AB575" s="83">
        <v>0</v>
      </c>
      <c r="AC575" s="264">
        <f t="shared" si="1209"/>
        <v>0</v>
      </c>
      <c r="AD575" s="83">
        <f t="shared" si="1201"/>
        <v>1630065</v>
      </c>
      <c r="AE575" s="83">
        <f t="shared" si="1202"/>
        <v>0</v>
      </c>
      <c r="AF575" s="264">
        <f t="shared" ref="AF575" si="1213">AD575+AE575</f>
        <v>1630065</v>
      </c>
      <c r="AG575" s="83">
        <f>543355*2</f>
        <v>1086710</v>
      </c>
      <c r="AH575" s="83">
        <v>0</v>
      </c>
      <c r="AI575" s="264">
        <f t="shared" ref="AI575" si="1214">SUM(AG575:AH575)</f>
        <v>1086710</v>
      </c>
      <c r="AJ575" s="83">
        <v>0</v>
      </c>
      <c r="AK575" s="83">
        <v>0</v>
      </c>
      <c r="AL575" s="83"/>
      <c r="AM575" s="264">
        <f t="shared" si="1210"/>
        <v>0</v>
      </c>
      <c r="AN575" s="83">
        <f>543355*1</f>
        <v>543355</v>
      </c>
      <c r="AO575" s="83">
        <v>0</v>
      </c>
      <c r="AP575" s="264">
        <f t="shared" si="1206"/>
        <v>543355</v>
      </c>
      <c r="AQ575" s="69">
        <f t="shared" si="1207"/>
        <v>0</v>
      </c>
    </row>
    <row r="576" spans="2:45" ht="66.599999999999994" customHeight="1" thickBot="1">
      <c r="B576" s="482" t="s">
        <v>1417</v>
      </c>
      <c r="C576" s="267" t="s">
        <v>1437</v>
      </c>
      <c r="D576" s="490"/>
      <c r="E576" s="661" t="s">
        <v>1446</v>
      </c>
      <c r="F576" s="661" t="s">
        <v>560</v>
      </c>
      <c r="G576" s="195">
        <v>2025</v>
      </c>
      <c r="H576" s="195">
        <v>2030</v>
      </c>
      <c r="I576" s="189">
        <f>SUM(I577:I581)</f>
        <v>0</v>
      </c>
      <c r="J576" s="189">
        <f>SUM(J577:J581)</f>
        <v>0</v>
      </c>
      <c r="K576" s="197">
        <f t="shared" si="1196"/>
        <v>0</v>
      </c>
      <c r="L576" s="189">
        <f>SUM(L577:L581)</f>
        <v>2381743</v>
      </c>
      <c r="M576" s="189">
        <f>SUM(M577:M581)</f>
        <v>0</v>
      </c>
      <c r="N576" s="197">
        <f t="shared" si="1197"/>
        <v>2381743</v>
      </c>
      <c r="O576" s="189">
        <f>SUM(O577:O581)</f>
        <v>2381743</v>
      </c>
      <c r="P576" s="189">
        <f>SUM(P577:P581)</f>
        <v>0</v>
      </c>
      <c r="Q576" s="197">
        <f t="shared" si="1198"/>
        <v>2381743</v>
      </c>
      <c r="R576" s="189">
        <f>SUM(R577:R581)</f>
        <v>2381743</v>
      </c>
      <c r="S576" s="189">
        <f>SUM(S577:S581)</f>
        <v>0</v>
      </c>
      <c r="T576" s="197">
        <f t="shared" si="1199"/>
        <v>2381743</v>
      </c>
      <c r="U576" s="189">
        <f>SUM(U577:U581)</f>
        <v>2381743</v>
      </c>
      <c r="V576" s="189">
        <f>SUM(V577:V581)</f>
        <v>0</v>
      </c>
      <c r="W576" s="197">
        <f t="shared" si="1200"/>
        <v>2381743</v>
      </c>
      <c r="X576" s="197">
        <f>SUM(X577:X581)</f>
        <v>2381743</v>
      </c>
      <c r="Y576" s="197">
        <f>SUM(Y577:Y581)</f>
        <v>0</v>
      </c>
      <c r="Z576" s="197">
        <f>SUM(X576:Y576)</f>
        <v>2381743</v>
      </c>
      <c r="AA576" s="197">
        <f>SUM(AA577:AA581)</f>
        <v>2381743</v>
      </c>
      <c r="AB576" s="197">
        <f>SUM(AB577:AB581)</f>
        <v>0</v>
      </c>
      <c r="AC576" s="197">
        <f>SUM(AA576:AB576)</f>
        <v>2381743</v>
      </c>
      <c r="AD576" s="197">
        <f t="shared" si="1201"/>
        <v>14290458</v>
      </c>
      <c r="AE576" s="197">
        <f t="shared" si="1202"/>
        <v>0</v>
      </c>
      <c r="AF576" s="197">
        <f t="shared" si="1203"/>
        <v>14290458</v>
      </c>
      <c r="AG576" s="189">
        <f>SUM(AG577:AG581)</f>
        <v>4763486</v>
      </c>
      <c r="AH576" s="189">
        <f>SUM(AH577:AH581)</f>
        <v>0</v>
      </c>
      <c r="AI576" s="197">
        <f t="shared" si="1204"/>
        <v>4763486</v>
      </c>
      <c r="AJ576" s="189">
        <f>SUM(AJ577:AJ581)</f>
        <v>0</v>
      </c>
      <c r="AK576" s="189">
        <f>SUM(AK577:AK581)</f>
        <v>0</v>
      </c>
      <c r="AL576" s="197"/>
      <c r="AM576" s="197">
        <f t="shared" si="1205"/>
        <v>0</v>
      </c>
      <c r="AN576" s="189">
        <f>SUM(AN577:AN581)</f>
        <v>9526972</v>
      </c>
      <c r="AO576" s="189">
        <f>SUM(AO577:AO581)</f>
        <v>0</v>
      </c>
      <c r="AP576" s="197">
        <f t="shared" si="1206"/>
        <v>9526972</v>
      </c>
      <c r="AQ576" s="193">
        <f t="shared" si="1207"/>
        <v>0</v>
      </c>
    </row>
    <row r="577" spans="2:44" ht="51" customHeight="1">
      <c r="B577" s="98" t="s">
        <v>1418</v>
      </c>
      <c r="C577" s="95" t="s">
        <v>1438</v>
      </c>
      <c r="D577" s="99"/>
      <c r="E577" s="329" t="s">
        <v>1443</v>
      </c>
      <c r="F577" s="445"/>
      <c r="G577" s="71">
        <v>2025</v>
      </c>
      <c r="H577" s="71">
        <v>2030</v>
      </c>
      <c r="I577" s="7">
        <v>0</v>
      </c>
      <c r="J577" s="7">
        <v>0</v>
      </c>
      <c r="K577" s="264">
        <f>SUM(I577:J577)</f>
        <v>0</v>
      </c>
      <c r="L577" s="7">
        <v>0</v>
      </c>
      <c r="M577" s="7">
        <v>0</v>
      </c>
      <c r="N577" s="264">
        <f>SUM(L577:M577)</f>
        <v>0</v>
      </c>
      <c r="O577" s="83">
        <v>0</v>
      </c>
      <c r="P577" s="83">
        <v>0</v>
      </c>
      <c r="Q577" s="264">
        <f>SUM(O577:P577)</f>
        <v>0</v>
      </c>
      <c r="R577" s="83">
        <v>0</v>
      </c>
      <c r="S577" s="83">
        <v>0</v>
      </c>
      <c r="T577" s="264">
        <f>SUM(R577:S577)</f>
        <v>0</v>
      </c>
      <c r="U577" s="83">
        <v>0</v>
      </c>
      <c r="V577" s="83">
        <v>0</v>
      </c>
      <c r="W577" s="264">
        <f t="shared" si="1200"/>
        <v>0</v>
      </c>
      <c r="X577" s="83">
        <v>0</v>
      </c>
      <c r="Y577" s="83">
        <v>0</v>
      </c>
      <c r="Z577" s="264">
        <f t="shared" ref="Z577:Z581" si="1215">SUM(X577:Y577)</f>
        <v>0</v>
      </c>
      <c r="AA577" s="83">
        <v>0</v>
      </c>
      <c r="AB577" s="83">
        <v>0</v>
      </c>
      <c r="AC577" s="264">
        <f t="shared" ref="AC577:AC581" si="1216">SUM(AA577:AB577)</f>
        <v>0</v>
      </c>
      <c r="AD577" s="83">
        <f t="shared" si="1201"/>
        <v>0</v>
      </c>
      <c r="AE577" s="83">
        <f t="shared" si="1202"/>
        <v>0</v>
      </c>
      <c r="AF577" s="264">
        <f t="shared" si="1203"/>
        <v>0</v>
      </c>
      <c r="AG577" s="83">
        <v>0</v>
      </c>
      <c r="AH577" s="83">
        <v>0</v>
      </c>
      <c r="AI577" s="264">
        <f t="shared" si="1204"/>
        <v>0</v>
      </c>
      <c r="AJ577" s="83">
        <v>0</v>
      </c>
      <c r="AK577" s="83">
        <v>0</v>
      </c>
      <c r="AL577" s="83"/>
      <c r="AM577" s="264">
        <f t="shared" si="1205"/>
        <v>0</v>
      </c>
      <c r="AN577" s="83">
        <v>0</v>
      </c>
      <c r="AO577" s="83">
        <v>0</v>
      </c>
      <c r="AP577" s="264">
        <f t="shared" si="1206"/>
        <v>0</v>
      </c>
      <c r="AQ577" s="69">
        <f t="shared" si="1207"/>
        <v>0</v>
      </c>
    </row>
    <row r="578" spans="2:44" ht="51" customHeight="1">
      <c r="B578" s="98" t="s">
        <v>1419</v>
      </c>
      <c r="C578" s="66" t="s">
        <v>1439</v>
      </c>
      <c r="D578" s="99"/>
      <c r="E578" s="330" t="s">
        <v>612</v>
      </c>
      <c r="F578" s="457"/>
      <c r="G578" s="71">
        <v>2025</v>
      </c>
      <c r="H578" s="71">
        <v>2030</v>
      </c>
      <c r="I578" s="7">
        <v>0</v>
      </c>
      <c r="J578" s="7">
        <v>0</v>
      </c>
      <c r="K578" s="264">
        <f t="shared" ref="K578:K581" si="1217">SUM(I578:J578)</f>
        <v>0</v>
      </c>
      <c r="L578" s="7">
        <v>271678</v>
      </c>
      <c r="M578" s="7">
        <v>0</v>
      </c>
      <c r="N578" s="264">
        <f t="shared" ref="N578:N581" si="1218">SUM(L578:M578)</f>
        <v>271678</v>
      </c>
      <c r="O578" s="83">
        <v>271678</v>
      </c>
      <c r="P578" s="83">
        <v>0</v>
      </c>
      <c r="Q578" s="264">
        <f t="shared" ref="Q578:Q581" si="1219">SUM(O578:P578)</f>
        <v>271678</v>
      </c>
      <c r="R578" s="83">
        <v>271678</v>
      </c>
      <c r="S578" s="83">
        <v>0</v>
      </c>
      <c r="T578" s="264">
        <f t="shared" ref="T578:T581" si="1220">SUM(R578:S578)</f>
        <v>271678</v>
      </c>
      <c r="U578" s="83">
        <v>271678</v>
      </c>
      <c r="V578" s="83">
        <v>0</v>
      </c>
      <c r="W578" s="264">
        <f t="shared" si="1200"/>
        <v>271678</v>
      </c>
      <c r="X578" s="83">
        <v>271678</v>
      </c>
      <c r="Y578" s="83">
        <v>0</v>
      </c>
      <c r="Z578" s="264">
        <f t="shared" si="1215"/>
        <v>271678</v>
      </c>
      <c r="AA578" s="83">
        <v>271678</v>
      </c>
      <c r="AB578" s="83">
        <v>0</v>
      </c>
      <c r="AC578" s="264">
        <f t="shared" si="1216"/>
        <v>271678</v>
      </c>
      <c r="AD578" s="83">
        <f t="shared" si="1201"/>
        <v>1630068</v>
      </c>
      <c r="AE578" s="83">
        <f t="shared" si="1202"/>
        <v>0</v>
      </c>
      <c r="AF578" s="264">
        <f t="shared" si="1203"/>
        <v>1630068</v>
      </c>
      <c r="AG578" s="83">
        <f>271678*2</f>
        <v>543356</v>
      </c>
      <c r="AH578" s="83">
        <v>0</v>
      </c>
      <c r="AI578" s="264">
        <f t="shared" si="1204"/>
        <v>543356</v>
      </c>
      <c r="AJ578" s="83">
        <v>0</v>
      </c>
      <c r="AK578" s="83">
        <v>0</v>
      </c>
      <c r="AL578" s="83"/>
      <c r="AM578" s="264">
        <f t="shared" si="1205"/>
        <v>0</v>
      </c>
      <c r="AN578" s="83">
        <f>271678*4</f>
        <v>1086712</v>
      </c>
      <c r="AO578" s="83">
        <v>0</v>
      </c>
      <c r="AP578" s="264">
        <f t="shared" si="1206"/>
        <v>1086712</v>
      </c>
      <c r="AQ578" s="69">
        <f t="shared" si="1207"/>
        <v>0</v>
      </c>
    </row>
    <row r="579" spans="2:44" ht="51" customHeight="1">
      <c r="B579" s="98" t="s">
        <v>1420</v>
      </c>
      <c r="C579" s="66" t="s">
        <v>1440</v>
      </c>
      <c r="D579" s="99"/>
      <c r="E579" s="330" t="s">
        <v>612</v>
      </c>
      <c r="F579" s="457" t="s">
        <v>1444</v>
      </c>
      <c r="G579" s="71">
        <v>2025</v>
      </c>
      <c r="H579" s="71">
        <v>2030</v>
      </c>
      <c r="I579" s="7">
        <v>0</v>
      </c>
      <c r="J579" s="7">
        <v>0</v>
      </c>
      <c r="K579" s="264">
        <f t="shared" si="1217"/>
        <v>0</v>
      </c>
      <c r="L579" s="7">
        <v>543355</v>
      </c>
      <c r="M579" s="7">
        <v>0</v>
      </c>
      <c r="N579" s="264">
        <f t="shared" si="1218"/>
        <v>543355</v>
      </c>
      <c r="O579" s="83">
        <v>543355</v>
      </c>
      <c r="P579" s="83">
        <v>0</v>
      </c>
      <c r="Q579" s="264">
        <f t="shared" si="1219"/>
        <v>543355</v>
      </c>
      <c r="R579" s="83">
        <v>543355</v>
      </c>
      <c r="S579" s="83">
        <v>0</v>
      </c>
      <c r="T579" s="264">
        <f t="shared" si="1220"/>
        <v>543355</v>
      </c>
      <c r="U579" s="83">
        <v>543355</v>
      </c>
      <c r="V579" s="83">
        <v>0</v>
      </c>
      <c r="W579" s="264">
        <f t="shared" si="1200"/>
        <v>543355</v>
      </c>
      <c r="X579" s="83">
        <v>543355</v>
      </c>
      <c r="Y579" s="83">
        <v>0</v>
      </c>
      <c r="Z579" s="264">
        <f t="shared" si="1215"/>
        <v>543355</v>
      </c>
      <c r="AA579" s="83">
        <v>543355</v>
      </c>
      <c r="AB579" s="83">
        <v>0</v>
      </c>
      <c r="AC579" s="264">
        <f t="shared" si="1216"/>
        <v>543355</v>
      </c>
      <c r="AD579" s="83">
        <f t="shared" si="1201"/>
        <v>3260130</v>
      </c>
      <c r="AE579" s="83">
        <f t="shared" si="1202"/>
        <v>0</v>
      </c>
      <c r="AF579" s="264">
        <f t="shared" si="1203"/>
        <v>3260130</v>
      </c>
      <c r="AG579" s="83">
        <f>543355*2</f>
        <v>1086710</v>
      </c>
      <c r="AH579" s="83">
        <v>0</v>
      </c>
      <c r="AI579" s="264">
        <f t="shared" si="1204"/>
        <v>1086710</v>
      </c>
      <c r="AJ579" s="83">
        <v>0</v>
      </c>
      <c r="AK579" s="83">
        <v>0</v>
      </c>
      <c r="AL579" s="83"/>
      <c r="AM579" s="264">
        <f t="shared" si="1205"/>
        <v>0</v>
      </c>
      <c r="AN579" s="83">
        <f>543355*4</f>
        <v>2173420</v>
      </c>
      <c r="AO579" s="83">
        <v>0</v>
      </c>
      <c r="AP579" s="264">
        <f t="shared" si="1206"/>
        <v>2173420</v>
      </c>
      <c r="AQ579" s="69">
        <f t="shared" si="1207"/>
        <v>0</v>
      </c>
    </row>
    <row r="580" spans="2:44" ht="51" customHeight="1">
      <c r="B580" s="98" t="s">
        <v>1421</v>
      </c>
      <c r="C580" s="66" t="s">
        <v>1441</v>
      </c>
      <c r="D580" s="99"/>
      <c r="E580" s="330" t="s">
        <v>612</v>
      </c>
      <c r="F580" s="457" t="s">
        <v>1444</v>
      </c>
      <c r="G580" s="71">
        <v>2025</v>
      </c>
      <c r="H580" s="71">
        <v>2030</v>
      </c>
      <c r="I580" s="7">
        <v>0</v>
      </c>
      <c r="J580" s="7">
        <v>0</v>
      </c>
      <c r="K580" s="264">
        <f t="shared" si="1217"/>
        <v>0</v>
      </c>
      <c r="L580" s="7">
        <v>1086710</v>
      </c>
      <c r="M580" s="7">
        <v>0</v>
      </c>
      <c r="N580" s="264">
        <f t="shared" si="1218"/>
        <v>1086710</v>
      </c>
      <c r="O580" s="83">
        <v>1086710</v>
      </c>
      <c r="P580" s="83">
        <v>0</v>
      </c>
      <c r="Q580" s="264">
        <f t="shared" si="1219"/>
        <v>1086710</v>
      </c>
      <c r="R580" s="83">
        <v>1086710</v>
      </c>
      <c r="S580" s="83">
        <v>0</v>
      </c>
      <c r="T580" s="264">
        <f t="shared" si="1220"/>
        <v>1086710</v>
      </c>
      <c r="U580" s="83">
        <v>1086710</v>
      </c>
      <c r="V580" s="83">
        <v>0</v>
      </c>
      <c r="W580" s="264">
        <f t="shared" si="1200"/>
        <v>1086710</v>
      </c>
      <c r="X580" s="83">
        <v>1086710</v>
      </c>
      <c r="Y580" s="83">
        <v>0</v>
      </c>
      <c r="Z580" s="264">
        <f t="shared" si="1215"/>
        <v>1086710</v>
      </c>
      <c r="AA580" s="83">
        <v>1086710</v>
      </c>
      <c r="AB580" s="83">
        <v>0</v>
      </c>
      <c r="AC580" s="264">
        <f t="shared" si="1216"/>
        <v>1086710</v>
      </c>
      <c r="AD580" s="83">
        <f t="shared" si="1201"/>
        <v>6520260</v>
      </c>
      <c r="AE580" s="83">
        <f t="shared" si="1202"/>
        <v>0</v>
      </c>
      <c r="AF580" s="264">
        <f t="shared" si="1203"/>
        <v>6520260</v>
      </c>
      <c r="AG580" s="83">
        <f>1086710*2</f>
        <v>2173420</v>
      </c>
      <c r="AH580" s="83">
        <v>0</v>
      </c>
      <c r="AI580" s="264">
        <f t="shared" si="1204"/>
        <v>2173420</v>
      </c>
      <c r="AJ580" s="83">
        <v>0</v>
      </c>
      <c r="AK580" s="83">
        <v>0</v>
      </c>
      <c r="AL580" s="83"/>
      <c r="AM580" s="264">
        <f t="shared" si="1205"/>
        <v>0</v>
      </c>
      <c r="AN580" s="83">
        <f>1086710*4</f>
        <v>4346840</v>
      </c>
      <c r="AO580" s="83">
        <v>0</v>
      </c>
      <c r="AP580" s="264">
        <f t="shared" si="1206"/>
        <v>4346840</v>
      </c>
      <c r="AQ580" s="69">
        <f t="shared" si="1207"/>
        <v>0</v>
      </c>
    </row>
    <row r="581" spans="2:44" ht="51" customHeight="1" thickBot="1">
      <c r="B581" s="98" t="s">
        <v>1422</v>
      </c>
      <c r="C581" s="530" t="s">
        <v>1442</v>
      </c>
      <c r="D581" s="99"/>
      <c r="E581" s="434" t="s">
        <v>1445</v>
      </c>
      <c r="F581" s="585"/>
      <c r="G581" s="71">
        <v>2025</v>
      </c>
      <c r="H581" s="71">
        <v>2030</v>
      </c>
      <c r="I581" s="7">
        <v>0</v>
      </c>
      <c r="J581" s="7">
        <v>0</v>
      </c>
      <c r="K581" s="264">
        <f t="shared" si="1217"/>
        <v>0</v>
      </c>
      <c r="L581" s="7">
        <v>480000</v>
      </c>
      <c r="M581" s="7">
        <v>0</v>
      </c>
      <c r="N581" s="264">
        <f t="shared" si="1218"/>
        <v>480000</v>
      </c>
      <c r="O581" s="83">
        <v>480000</v>
      </c>
      <c r="P581" s="83">
        <v>0</v>
      </c>
      <c r="Q581" s="264">
        <f t="shared" si="1219"/>
        <v>480000</v>
      </c>
      <c r="R581" s="83">
        <v>480000</v>
      </c>
      <c r="S581" s="83">
        <v>0</v>
      </c>
      <c r="T581" s="264">
        <f t="shared" si="1220"/>
        <v>480000</v>
      </c>
      <c r="U581" s="83">
        <v>480000</v>
      </c>
      <c r="V581" s="83">
        <v>0</v>
      </c>
      <c r="W581" s="264">
        <f t="shared" si="1200"/>
        <v>480000</v>
      </c>
      <c r="X581" s="83">
        <v>480000</v>
      </c>
      <c r="Y581" s="83">
        <v>0</v>
      </c>
      <c r="Z581" s="264">
        <f t="shared" si="1215"/>
        <v>480000</v>
      </c>
      <c r="AA581" s="83">
        <v>480000</v>
      </c>
      <c r="AB581" s="83">
        <v>0</v>
      </c>
      <c r="AC581" s="264">
        <f t="shared" si="1216"/>
        <v>480000</v>
      </c>
      <c r="AD581" s="83">
        <f t="shared" si="1201"/>
        <v>2880000</v>
      </c>
      <c r="AE581" s="83">
        <f t="shared" si="1202"/>
        <v>0</v>
      </c>
      <c r="AF581" s="264">
        <f t="shared" si="1203"/>
        <v>2880000</v>
      </c>
      <c r="AG581" s="83">
        <f>480000*2</f>
        <v>960000</v>
      </c>
      <c r="AH581" s="83">
        <v>0</v>
      </c>
      <c r="AI581" s="264">
        <f t="shared" si="1204"/>
        <v>960000</v>
      </c>
      <c r="AJ581" s="83">
        <v>0</v>
      </c>
      <c r="AK581" s="83">
        <v>0</v>
      </c>
      <c r="AL581" s="83"/>
      <c r="AM581" s="264">
        <f t="shared" si="1205"/>
        <v>0</v>
      </c>
      <c r="AN581" s="83">
        <f>480000*4</f>
        <v>1920000</v>
      </c>
      <c r="AO581" s="83">
        <v>0</v>
      </c>
      <c r="AP581" s="264">
        <f t="shared" si="1206"/>
        <v>1920000</v>
      </c>
      <c r="AQ581" s="69">
        <f t="shared" si="1207"/>
        <v>0</v>
      </c>
    </row>
    <row r="582" spans="2:44" ht="63.75" customHeight="1">
      <c r="B582" s="213" t="s">
        <v>1423</v>
      </c>
      <c r="C582" s="258" t="s">
        <v>1447</v>
      </c>
      <c r="D582" s="209"/>
      <c r="E582" s="223" t="s">
        <v>370</v>
      </c>
      <c r="F582" s="192" t="s">
        <v>243</v>
      </c>
      <c r="G582" s="185">
        <v>2025</v>
      </c>
      <c r="H582" s="185">
        <v>2029</v>
      </c>
      <c r="I582" s="189">
        <f>SUM(I583:I583)</f>
        <v>0</v>
      </c>
      <c r="J582" s="189">
        <f>SUM(J583:J583)</f>
        <v>0</v>
      </c>
      <c r="K582" s="197">
        <f t="shared" si="1196"/>
        <v>0</v>
      </c>
      <c r="L582" s="189">
        <f>SUM(L583:L583)</f>
        <v>1800000</v>
      </c>
      <c r="M582" s="189">
        <f>SUM(M583:M583)</f>
        <v>0</v>
      </c>
      <c r="N582" s="197">
        <f t="shared" si="1197"/>
        <v>1800000</v>
      </c>
      <c r="O582" s="189">
        <f>SUM(O583:O583)</f>
        <v>0</v>
      </c>
      <c r="P582" s="189">
        <f>SUM(P583:P583)</f>
        <v>0</v>
      </c>
      <c r="Q582" s="197">
        <f t="shared" si="1198"/>
        <v>0</v>
      </c>
      <c r="R582" s="189">
        <f>SUM(R583:R583)</f>
        <v>1800000</v>
      </c>
      <c r="S582" s="189">
        <f>SUM(S583:S583)</f>
        <v>0</v>
      </c>
      <c r="T582" s="197">
        <f t="shared" si="1199"/>
        <v>1800000</v>
      </c>
      <c r="U582" s="189">
        <f>SUM(U583:U583)</f>
        <v>0</v>
      </c>
      <c r="V582" s="189">
        <f>SUM(V583:V583)</f>
        <v>0</v>
      </c>
      <c r="W582" s="197">
        <f t="shared" si="1200"/>
        <v>0</v>
      </c>
      <c r="X582" s="197">
        <f>SUM(X583:X583)</f>
        <v>1800000</v>
      </c>
      <c r="Y582" s="197">
        <f>SUM(Y583:Y583)</f>
        <v>0</v>
      </c>
      <c r="Z582" s="197">
        <f>SUM(X582:Y582)</f>
        <v>1800000</v>
      </c>
      <c r="AA582" s="197">
        <f>SUM(AA583:AA583)</f>
        <v>0</v>
      </c>
      <c r="AB582" s="197">
        <f>SUM(AB583:AB583)</f>
        <v>0</v>
      </c>
      <c r="AC582" s="197">
        <f>SUM(AA582:AB582)</f>
        <v>0</v>
      </c>
      <c r="AD582" s="197">
        <f t="shared" si="1201"/>
        <v>5400000</v>
      </c>
      <c r="AE582" s="197">
        <f t="shared" si="1202"/>
        <v>0</v>
      </c>
      <c r="AF582" s="197">
        <f t="shared" si="1203"/>
        <v>5400000</v>
      </c>
      <c r="AG582" s="189">
        <f>SUM(AG583:AG583)</f>
        <v>0</v>
      </c>
      <c r="AH582" s="189">
        <f>SUM(AH583:AH583)</f>
        <v>0</v>
      </c>
      <c r="AI582" s="197">
        <f t="shared" si="1204"/>
        <v>0</v>
      </c>
      <c r="AJ582" s="189">
        <f>SUM(AJ583:AJ583)</f>
        <v>0</v>
      </c>
      <c r="AK582" s="189">
        <f>SUM(AK583:AK583)</f>
        <v>0</v>
      </c>
      <c r="AL582" s="197"/>
      <c r="AM582" s="197">
        <f t="shared" si="1205"/>
        <v>0</v>
      </c>
      <c r="AN582" s="189">
        <f>SUM(AN583:AN583)</f>
        <v>0</v>
      </c>
      <c r="AO582" s="189">
        <f>SUM(AO583:AO583)</f>
        <v>0</v>
      </c>
      <c r="AP582" s="197">
        <f t="shared" si="1206"/>
        <v>0</v>
      </c>
      <c r="AQ582" s="193">
        <f t="shared" si="1207"/>
        <v>-5400000</v>
      </c>
    </row>
    <row r="583" spans="2:44" ht="79.5" customHeight="1" thickBot="1">
      <c r="B583" s="52" t="s">
        <v>1424</v>
      </c>
      <c r="C583" s="66" t="s">
        <v>1448</v>
      </c>
      <c r="D583" s="99"/>
      <c r="E583" s="710" t="s">
        <v>370</v>
      </c>
      <c r="F583" s="538" t="s">
        <v>243</v>
      </c>
      <c r="G583" s="71" t="s">
        <v>1449</v>
      </c>
      <c r="H583" s="71" t="s">
        <v>1449</v>
      </c>
      <c r="I583" s="7">
        <v>0</v>
      </c>
      <c r="J583" s="7">
        <v>0</v>
      </c>
      <c r="K583" s="264">
        <f>SUM(I583:J583)</f>
        <v>0</v>
      </c>
      <c r="L583" s="7">
        <v>1800000</v>
      </c>
      <c r="M583" s="7">
        <v>0</v>
      </c>
      <c r="N583" s="264">
        <f>SUM(L583:M583)</f>
        <v>1800000</v>
      </c>
      <c r="O583" s="83">
        <v>0</v>
      </c>
      <c r="P583" s="83">
        <v>0</v>
      </c>
      <c r="Q583" s="264">
        <f>SUM(O583:P583)</f>
        <v>0</v>
      </c>
      <c r="R583" s="83">
        <v>1800000</v>
      </c>
      <c r="S583" s="83">
        <v>0</v>
      </c>
      <c r="T583" s="264">
        <f>SUM(R583:S583)</f>
        <v>1800000</v>
      </c>
      <c r="U583" s="83">
        <v>0</v>
      </c>
      <c r="V583" s="83">
        <v>0</v>
      </c>
      <c r="W583" s="264">
        <f t="shared" si="1200"/>
        <v>0</v>
      </c>
      <c r="X583" s="83">
        <v>1800000</v>
      </c>
      <c r="Y583" s="83">
        <v>0</v>
      </c>
      <c r="Z583" s="264">
        <f>SUM(X583:Y583)</f>
        <v>1800000</v>
      </c>
      <c r="AA583" s="83">
        <v>0</v>
      </c>
      <c r="AB583" s="83">
        <v>0</v>
      </c>
      <c r="AC583" s="264">
        <f>SUM(AA583:AB583)</f>
        <v>0</v>
      </c>
      <c r="AD583" s="83">
        <f t="shared" si="1201"/>
        <v>5400000</v>
      </c>
      <c r="AE583" s="83">
        <f t="shared" si="1202"/>
        <v>0</v>
      </c>
      <c r="AF583" s="264">
        <f>AD583+AE583</f>
        <v>5400000</v>
      </c>
      <c r="AG583" s="83">
        <v>0</v>
      </c>
      <c r="AH583" s="83">
        <v>0</v>
      </c>
      <c r="AI583" s="264">
        <f>SUM(AG583:AH583)</f>
        <v>0</v>
      </c>
      <c r="AJ583" s="83">
        <v>0</v>
      </c>
      <c r="AK583" s="83">
        <v>0</v>
      </c>
      <c r="AL583" s="83"/>
      <c r="AM583" s="264">
        <f t="shared" si="1210"/>
        <v>0</v>
      </c>
      <c r="AN583" s="83">
        <v>0</v>
      </c>
      <c r="AO583" s="83"/>
      <c r="AP583" s="264">
        <f t="shared" si="1206"/>
        <v>0</v>
      </c>
      <c r="AQ583" s="170">
        <f t="shared" si="1207"/>
        <v>-5400000</v>
      </c>
    </row>
    <row r="584" spans="2:44" s="4" customFormat="1" ht="48" customHeight="1" thickBot="1">
      <c r="B584" s="150"/>
      <c r="C584" s="151" t="s">
        <v>31</v>
      </c>
      <c r="D584" s="107"/>
      <c r="E584" s="85"/>
      <c r="F584" s="85"/>
      <c r="G584" s="85"/>
      <c r="H584" s="85"/>
      <c r="I584" s="152">
        <f t="shared" ref="I584:T584" si="1221">I582+I576+I573</f>
        <v>543355</v>
      </c>
      <c r="J584" s="152">
        <f t="shared" si="1221"/>
        <v>0</v>
      </c>
      <c r="K584" s="152">
        <f t="shared" si="1221"/>
        <v>543355</v>
      </c>
      <c r="L584" s="152">
        <f t="shared" si="1221"/>
        <v>4725098</v>
      </c>
      <c r="M584" s="152">
        <f t="shared" si="1221"/>
        <v>0</v>
      </c>
      <c r="N584" s="152">
        <f t="shared" si="1221"/>
        <v>4725098</v>
      </c>
      <c r="O584" s="152">
        <f t="shared" si="1221"/>
        <v>2925098</v>
      </c>
      <c r="P584" s="152">
        <f t="shared" si="1221"/>
        <v>0</v>
      </c>
      <c r="Q584" s="152">
        <f t="shared" si="1221"/>
        <v>2925098</v>
      </c>
      <c r="R584" s="152">
        <f t="shared" si="1221"/>
        <v>4725098</v>
      </c>
      <c r="S584" s="152">
        <f t="shared" si="1221"/>
        <v>0</v>
      </c>
      <c r="T584" s="152">
        <f t="shared" si="1221"/>
        <v>4725098</v>
      </c>
      <c r="U584" s="152">
        <v>2190813.7680000002</v>
      </c>
      <c r="V584" s="152">
        <f t="shared" ref="V584:AK584" si="1222">V582+V576+V573</f>
        <v>0</v>
      </c>
      <c r="W584" s="152">
        <f t="shared" si="1222"/>
        <v>2381743</v>
      </c>
      <c r="X584" s="152">
        <f t="shared" si="1222"/>
        <v>4181743</v>
      </c>
      <c r="Y584" s="152">
        <f t="shared" si="1222"/>
        <v>0</v>
      </c>
      <c r="Z584" s="152">
        <f t="shared" si="1222"/>
        <v>4181743</v>
      </c>
      <c r="AA584" s="152">
        <f t="shared" si="1222"/>
        <v>2381743</v>
      </c>
      <c r="AB584" s="152">
        <f t="shared" si="1222"/>
        <v>0</v>
      </c>
      <c r="AC584" s="152">
        <f t="shared" si="1222"/>
        <v>2381743</v>
      </c>
      <c r="AD584" s="152">
        <f t="shared" si="1222"/>
        <v>21863878</v>
      </c>
      <c r="AE584" s="152">
        <f t="shared" si="1222"/>
        <v>0</v>
      </c>
      <c r="AF584" s="152">
        <f t="shared" si="1222"/>
        <v>21863878</v>
      </c>
      <c r="AG584" s="152">
        <f t="shared" si="1222"/>
        <v>6393551</v>
      </c>
      <c r="AH584" s="152">
        <f t="shared" si="1222"/>
        <v>0</v>
      </c>
      <c r="AI584" s="152">
        <f t="shared" si="1222"/>
        <v>6393551</v>
      </c>
      <c r="AJ584" s="152">
        <f t="shared" si="1222"/>
        <v>0</v>
      </c>
      <c r="AK584" s="152">
        <f t="shared" si="1222"/>
        <v>0</v>
      </c>
      <c r="AL584" s="152"/>
      <c r="AM584" s="152">
        <f>AM582+AM576+AM573</f>
        <v>0</v>
      </c>
      <c r="AN584" s="152">
        <f>AN582+AN576+AN573</f>
        <v>10070327</v>
      </c>
      <c r="AO584" s="152">
        <f>AO582+AO576+AO573</f>
        <v>0</v>
      </c>
      <c r="AP584" s="152">
        <f>AP582+AP576+AP573</f>
        <v>10070327</v>
      </c>
      <c r="AQ584" s="172">
        <f>AQ582+AQ576+AQ573</f>
        <v>-5400000</v>
      </c>
    </row>
    <row r="585" spans="2:44" ht="47.45" customHeight="1">
      <c r="B585" s="55">
        <v>4.3</v>
      </c>
      <c r="C585" s="845" t="s">
        <v>1578</v>
      </c>
      <c r="D585" s="846"/>
      <c r="E585" s="90"/>
      <c r="F585" s="90"/>
      <c r="G585" s="90"/>
      <c r="H585" s="90"/>
      <c r="I585" s="103"/>
      <c r="J585" s="103"/>
      <c r="K585" s="103"/>
      <c r="L585" s="103"/>
      <c r="M585" s="103"/>
      <c r="N585" s="103"/>
      <c r="O585" s="103"/>
      <c r="P585" s="103"/>
      <c r="Q585" s="103"/>
      <c r="R585" s="103"/>
      <c r="S585" s="103"/>
      <c r="T585" s="103"/>
      <c r="U585" s="103"/>
      <c r="V585" s="103"/>
      <c r="W585" s="103"/>
      <c r="X585" s="103"/>
      <c r="Y585" s="103"/>
      <c r="Z585" s="103"/>
      <c r="AA585" s="103"/>
      <c r="AB585" s="103"/>
      <c r="AC585" s="103"/>
      <c r="AD585" s="103"/>
      <c r="AE585" s="103"/>
      <c r="AF585" s="103"/>
      <c r="AG585" s="103"/>
      <c r="AH585" s="103"/>
      <c r="AI585" s="103"/>
      <c r="AJ585" s="103"/>
      <c r="AK585" s="103"/>
      <c r="AL585" s="103"/>
      <c r="AM585" s="103"/>
      <c r="AN585" s="103"/>
      <c r="AO585" s="103"/>
      <c r="AP585" s="103"/>
      <c r="AQ585" s="104"/>
      <c r="AR585" s="47"/>
    </row>
    <row r="586" spans="2:44" ht="31.9" customHeight="1">
      <c r="B586" s="35"/>
      <c r="C586" s="62" t="s">
        <v>68</v>
      </c>
      <c r="D586" s="92"/>
      <c r="E586" s="93"/>
      <c r="F586" s="93"/>
      <c r="G586" s="93"/>
      <c r="H586" s="93"/>
      <c r="I586" s="83"/>
      <c r="J586" s="83"/>
      <c r="K586" s="83"/>
      <c r="L586" s="83"/>
      <c r="M586" s="83"/>
      <c r="N586" s="83"/>
      <c r="O586" s="83"/>
      <c r="P586" s="83"/>
      <c r="Q586" s="83"/>
      <c r="R586" s="83"/>
      <c r="S586" s="83"/>
      <c r="T586" s="83"/>
      <c r="U586" s="83"/>
      <c r="V586" s="83"/>
      <c r="W586" s="83"/>
      <c r="X586" s="83"/>
      <c r="Y586" s="83"/>
      <c r="Z586" s="83"/>
      <c r="AA586" s="83"/>
      <c r="AB586" s="83"/>
      <c r="AC586" s="83"/>
      <c r="AD586" s="83"/>
      <c r="AE586" s="83"/>
      <c r="AF586" s="83"/>
      <c r="AG586" s="83"/>
      <c r="AH586" s="83"/>
      <c r="AI586" s="83"/>
      <c r="AJ586" s="83"/>
      <c r="AK586" s="83"/>
      <c r="AL586" s="83"/>
      <c r="AM586" s="83"/>
      <c r="AN586" s="83"/>
      <c r="AO586" s="83"/>
      <c r="AP586" s="83"/>
      <c r="AQ586" s="112"/>
      <c r="AR586" s="47"/>
    </row>
    <row r="587" spans="2:44" ht="53.45" customHeight="1">
      <c r="B587" s="210" t="s">
        <v>1450</v>
      </c>
      <c r="C587" s="713" t="s">
        <v>1451</v>
      </c>
      <c r="D587" s="713"/>
      <c r="E587" s="570" t="s">
        <v>125</v>
      </c>
      <c r="F587" s="570"/>
      <c r="G587" s="570">
        <v>2024</v>
      </c>
      <c r="H587" s="570">
        <v>2030</v>
      </c>
      <c r="I587" s="197">
        <f>SUM(I588:I590)</f>
        <v>271678</v>
      </c>
      <c r="J587" s="197">
        <f>SUM(J588:J590)</f>
        <v>0</v>
      </c>
      <c r="K587" s="197">
        <f>SUM(I587:J587)</f>
        <v>271678</v>
      </c>
      <c r="L587" s="197">
        <f>SUM(L588:L590)</f>
        <v>815033</v>
      </c>
      <c r="M587" s="226">
        <f>SUM(M588:M590)</f>
        <v>0</v>
      </c>
      <c r="N587" s="226">
        <f>SUM(L587:M587)</f>
        <v>815033</v>
      </c>
      <c r="O587" s="226">
        <f>SUM(O588:O590)</f>
        <v>815033</v>
      </c>
      <c r="P587" s="226">
        <f>SUM(P588:P590)</f>
        <v>0</v>
      </c>
      <c r="Q587" s="226">
        <f>SUM(O587:P587)</f>
        <v>815033</v>
      </c>
      <c r="R587" s="226">
        <f>SUM(R588:R590)</f>
        <v>271678</v>
      </c>
      <c r="S587" s="226">
        <f>SUM(S588:S590)</f>
        <v>0</v>
      </c>
      <c r="T587" s="214">
        <f>SUM(R587:S587)</f>
        <v>271678</v>
      </c>
      <c r="U587" s="214">
        <f>SUM(U588:U590)</f>
        <v>271678</v>
      </c>
      <c r="V587" s="214">
        <f>SUM(V588:V590)</f>
        <v>0</v>
      </c>
      <c r="W587" s="214">
        <f>SUM(U587:V587)</f>
        <v>271678</v>
      </c>
      <c r="X587" s="214">
        <f>SUM(X588:X590)</f>
        <v>271678</v>
      </c>
      <c r="Y587" s="214">
        <f>SUM(Y588:Y590)</f>
        <v>0</v>
      </c>
      <c r="Z587" s="214">
        <f>SUM(X587:Y587)</f>
        <v>271678</v>
      </c>
      <c r="AA587" s="214">
        <f>SUM(AA588:AA590)</f>
        <v>271678</v>
      </c>
      <c r="AB587" s="214">
        <f>SUM(AB588:AB590)</f>
        <v>0</v>
      </c>
      <c r="AC587" s="214">
        <f>SUM(AA587:AB587)</f>
        <v>271678</v>
      </c>
      <c r="AD587" s="214">
        <f t="shared" ref="AD587:AD599" si="1223">I587+L587+O587+R587+U587+X587+AA587</f>
        <v>2988456</v>
      </c>
      <c r="AE587" s="214">
        <f t="shared" ref="AE587:AE599" si="1224">J587+M587+P587+S587+V587+Y587+AB587</f>
        <v>0</v>
      </c>
      <c r="AF587" s="214">
        <f>SUM(AD587:AE587)</f>
        <v>2988456</v>
      </c>
      <c r="AG587" s="214">
        <f>SUM(AG588:AG590)</f>
        <v>1901744</v>
      </c>
      <c r="AH587" s="214">
        <f>SUM(AH588:AH590)</f>
        <v>0</v>
      </c>
      <c r="AI587" s="214">
        <f>SUM(AG587:AH587)</f>
        <v>1901744</v>
      </c>
      <c r="AJ587" s="214">
        <f>SUM(AJ588:AJ590)</f>
        <v>0</v>
      </c>
      <c r="AK587" s="214">
        <f>SUM(AK588:AK590)</f>
        <v>0</v>
      </c>
      <c r="AL587" s="214"/>
      <c r="AM587" s="214">
        <f>AJ587+AK587</f>
        <v>0</v>
      </c>
      <c r="AN587" s="214">
        <f>SUM(AN588:AN590)</f>
        <v>1086712</v>
      </c>
      <c r="AO587" s="214">
        <f>SUM(AO588:AO590)</f>
        <v>0</v>
      </c>
      <c r="AP587" s="214">
        <f>SUM(AN587:AO587)</f>
        <v>1086712</v>
      </c>
      <c r="AQ587" s="714">
        <f t="shared" ref="AQ587:AQ599" si="1225">SUM(AP587+AM587+AI587)-AF587</f>
        <v>0</v>
      </c>
      <c r="AR587" s="47"/>
    </row>
    <row r="588" spans="2:44" s="4" customFormat="1" ht="48" customHeight="1">
      <c r="B588" s="35" t="s">
        <v>1452</v>
      </c>
      <c r="C588" s="114" t="s">
        <v>1456</v>
      </c>
      <c r="D588" s="712"/>
      <c r="E588" s="39" t="s">
        <v>125</v>
      </c>
      <c r="F588" s="39"/>
      <c r="G588" s="71">
        <v>2024</v>
      </c>
      <c r="H588" s="71">
        <v>2030</v>
      </c>
      <c r="I588" s="122">
        <v>271678</v>
      </c>
      <c r="J588" s="122">
        <v>0</v>
      </c>
      <c r="K588" s="715">
        <f t="shared" ref="K588:K590" si="1226">SUM(I588:J588)</f>
        <v>271678</v>
      </c>
      <c r="L588" s="122">
        <v>271678</v>
      </c>
      <c r="M588" s="122">
        <v>0</v>
      </c>
      <c r="N588" s="715">
        <f t="shared" ref="N588:N590" si="1227">SUM(L588:M588)</f>
        <v>271678</v>
      </c>
      <c r="O588" s="122">
        <v>271678</v>
      </c>
      <c r="P588" s="122">
        <v>0</v>
      </c>
      <c r="Q588" s="715">
        <f t="shared" ref="Q588:Q590" si="1228">SUM(O588:P588)</f>
        <v>271678</v>
      </c>
      <c r="R588" s="122">
        <v>271678</v>
      </c>
      <c r="S588" s="122">
        <v>0</v>
      </c>
      <c r="T588" s="715">
        <f t="shared" ref="T588:T590" si="1229">SUM(R588:S588)</f>
        <v>271678</v>
      </c>
      <c r="U588" s="122">
        <v>271678</v>
      </c>
      <c r="V588" s="122">
        <v>0</v>
      </c>
      <c r="W588" s="715">
        <f t="shared" ref="W588:W590" si="1230">SUM(U588:V588)</f>
        <v>271678</v>
      </c>
      <c r="X588" s="122">
        <v>271678</v>
      </c>
      <c r="Y588" s="122">
        <v>0</v>
      </c>
      <c r="Z588" s="715">
        <f t="shared" ref="Z588:Z590" si="1231">SUM(X588:Y588)</f>
        <v>271678</v>
      </c>
      <c r="AA588" s="122">
        <v>271678</v>
      </c>
      <c r="AB588" s="122">
        <v>0</v>
      </c>
      <c r="AC588" s="715">
        <f t="shared" ref="AC588:AC590" si="1232">SUM(AA588:AB588)</f>
        <v>271678</v>
      </c>
      <c r="AD588" s="122">
        <f t="shared" si="1223"/>
        <v>1901746</v>
      </c>
      <c r="AE588" s="122">
        <f t="shared" si="1224"/>
        <v>0</v>
      </c>
      <c r="AF588" s="715">
        <f t="shared" ref="AF588:AF597" si="1233">SUM(AD588:AE588)</f>
        <v>1901746</v>
      </c>
      <c r="AG588" s="122">
        <f>271678*3</f>
        <v>815034</v>
      </c>
      <c r="AH588" s="122">
        <v>0</v>
      </c>
      <c r="AI588" s="715">
        <f t="shared" ref="AI588:AI597" si="1234">SUM(AG588:AH588)</f>
        <v>815034</v>
      </c>
      <c r="AJ588" s="122">
        <v>0</v>
      </c>
      <c r="AK588" s="122">
        <v>0</v>
      </c>
      <c r="AL588" s="122"/>
      <c r="AM588" s="715">
        <f t="shared" ref="AM588:AM590" si="1235">AJ588+AK588</f>
        <v>0</v>
      </c>
      <c r="AN588" s="122">
        <f>271678*4</f>
        <v>1086712</v>
      </c>
      <c r="AO588" s="122">
        <v>0</v>
      </c>
      <c r="AP588" s="715">
        <f t="shared" ref="AP588:AP599" si="1236">SUM(AN588:AO588)</f>
        <v>1086712</v>
      </c>
      <c r="AQ588" s="716">
        <f t="shared" si="1225"/>
        <v>0</v>
      </c>
    </row>
    <row r="589" spans="2:44" s="4" customFormat="1" ht="48" customHeight="1">
      <c r="B589" s="35" t="s">
        <v>1453</v>
      </c>
      <c r="C589" s="353" t="s">
        <v>1457</v>
      </c>
      <c r="D589" s="712"/>
      <c r="E589" s="39" t="s">
        <v>125</v>
      </c>
      <c r="F589" s="39"/>
      <c r="G589" s="71">
        <v>2025</v>
      </c>
      <c r="H589" s="71">
        <v>2026</v>
      </c>
      <c r="I589" s="122">
        <v>0</v>
      </c>
      <c r="J589" s="122">
        <v>0</v>
      </c>
      <c r="K589" s="715">
        <f t="shared" si="1226"/>
        <v>0</v>
      </c>
      <c r="L589" s="122">
        <v>543355</v>
      </c>
      <c r="M589" s="122">
        <v>0</v>
      </c>
      <c r="N589" s="715">
        <f t="shared" si="1227"/>
        <v>543355</v>
      </c>
      <c r="O589" s="122">
        <v>543355</v>
      </c>
      <c r="P589" s="122">
        <v>0</v>
      </c>
      <c r="Q589" s="715">
        <f t="shared" si="1228"/>
        <v>543355</v>
      </c>
      <c r="R589" s="122">
        <v>0</v>
      </c>
      <c r="S589" s="122">
        <v>0</v>
      </c>
      <c r="T589" s="715">
        <f t="shared" si="1229"/>
        <v>0</v>
      </c>
      <c r="U589" s="122">
        <v>0</v>
      </c>
      <c r="V589" s="122">
        <v>0</v>
      </c>
      <c r="W589" s="715">
        <f t="shared" si="1230"/>
        <v>0</v>
      </c>
      <c r="X589" s="122">
        <v>0</v>
      </c>
      <c r="Y589" s="122">
        <v>0</v>
      </c>
      <c r="Z589" s="715">
        <f t="shared" si="1231"/>
        <v>0</v>
      </c>
      <c r="AA589" s="122">
        <v>0</v>
      </c>
      <c r="AB589" s="122">
        <v>0</v>
      </c>
      <c r="AC589" s="715">
        <f t="shared" si="1232"/>
        <v>0</v>
      </c>
      <c r="AD589" s="122">
        <f t="shared" si="1223"/>
        <v>1086710</v>
      </c>
      <c r="AE589" s="122">
        <f t="shared" si="1224"/>
        <v>0</v>
      </c>
      <c r="AF589" s="715">
        <f t="shared" si="1233"/>
        <v>1086710</v>
      </c>
      <c r="AG589" s="122">
        <f>543355*2</f>
        <v>1086710</v>
      </c>
      <c r="AH589" s="122">
        <v>0</v>
      </c>
      <c r="AI589" s="715">
        <f t="shared" si="1234"/>
        <v>1086710</v>
      </c>
      <c r="AJ589" s="122">
        <v>0</v>
      </c>
      <c r="AK589" s="122">
        <v>0</v>
      </c>
      <c r="AL589" s="122"/>
      <c r="AM589" s="715">
        <f t="shared" si="1235"/>
        <v>0</v>
      </c>
      <c r="AN589" s="122">
        <v>0</v>
      </c>
      <c r="AO589" s="122">
        <v>0</v>
      </c>
      <c r="AP589" s="715">
        <f t="shared" si="1236"/>
        <v>0</v>
      </c>
      <c r="AQ589" s="716">
        <f t="shared" si="1225"/>
        <v>0</v>
      </c>
    </row>
    <row r="590" spans="2:44" s="4" customFormat="1" ht="48" customHeight="1">
      <c r="B590" s="35" t="s">
        <v>1454</v>
      </c>
      <c r="C590" s="353" t="s">
        <v>1458</v>
      </c>
      <c r="D590" s="712"/>
      <c r="E590" s="39" t="s">
        <v>125</v>
      </c>
      <c r="F590" s="39"/>
      <c r="G590" s="71">
        <v>2025</v>
      </c>
      <c r="H590" s="71">
        <v>2026</v>
      </c>
      <c r="I590" s="122">
        <v>0</v>
      </c>
      <c r="J590" s="122">
        <v>0</v>
      </c>
      <c r="K590" s="715">
        <f t="shared" si="1226"/>
        <v>0</v>
      </c>
      <c r="L590" s="122">
        <v>0</v>
      </c>
      <c r="M590" s="122">
        <v>0</v>
      </c>
      <c r="N590" s="715">
        <f t="shared" si="1227"/>
        <v>0</v>
      </c>
      <c r="O590" s="122">
        <v>0</v>
      </c>
      <c r="P590" s="122">
        <v>0</v>
      </c>
      <c r="Q590" s="715">
        <f t="shared" si="1228"/>
        <v>0</v>
      </c>
      <c r="R590" s="122">
        <v>0</v>
      </c>
      <c r="S590" s="122">
        <v>0</v>
      </c>
      <c r="T590" s="715">
        <f t="shared" si="1229"/>
        <v>0</v>
      </c>
      <c r="U590" s="122">
        <v>0</v>
      </c>
      <c r="V590" s="122">
        <v>0</v>
      </c>
      <c r="W590" s="715">
        <f t="shared" si="1230"/>
        <v>0</v>
      </c>
      <c r="X590" s="122">
        <v>0</v>
      </c>
      <c r="Y590" s="122">
        <v>0</v>
      </c>
      <c r="Z590" s="715">
        <f t="shared" si="1231"/>
        <v>0</v>
      </c>
      <c r="AA590" s="122">
        <v>0</v>
      </c>
      <c r="AB590" s="122">
        <v>0</v>
      </c>
      <c r="AC590" s="715">
        <f t="shared" si="1232"/>
        <v>0</v>
      </c>
      <c r="AD590" s="122">
        <v>0</v>
      </c>
      <c r="AE590" s="122">
        <f t="shared" si="1224"/>
        <v>0</v>
      </c>
      <c r="AF590" s="715">
        <f t="shared" si="1233"/>
        <v>0</v>
      </c>
      <c r="AG590" s="122">
        <v>0</v>
      </c>
      <c r="AH590" s="122">
        <v>0</v>
      </c>
      <c r="AI590" s="715">
        <f t="shared" si="1234"/>
        <v>0</v>
      </c>
      <c r="AJ590" s="122">
        <v>0</v>
      </c>
      <c r="AK590" s="122">
        <v>0</v>
      </c>
      <c r="AL590" s="122"/>
      <c r="AM590" s="715">
        <f t="shared" si="1235"/>
        <v>0</v>
      </c>
      <c r="AN590" s="122">
        <v>0</v>
      </c>
      <c r="AO590" s="122">
        <v>0</v>
      </c>
      <c r="AP590" s="715">
        <f t="shared" si="1236"/>
        <v>0</v>
      </c>
      <c r="AQ590" s="716">
        <f t="shared" si="1225"/>
        <v>0</v>
      </c>
    </row>
    <row r="591" spans="2:44" s="4" customFormat="1" ht="48" customHeight="1">
      <c r="B591" s="210" t="s">
        <v>1455</v>
      </c>
      <c r="C591" s="263" t="s">
        <v>1459</v>
      </c>
      <c r="D591" s="713"/>
      <c r="E591" s="192" t="s">
        <v>125</v>
      </c>
      <c r="F591" s="192" t="s">
        <v>1102</v>
      </c>
      <c r="G591" s="350">
        <v>2024</v>
      </c>
      <c r="H591" s="350">
        <v>2030</v>
      </c>
      <c r="I591" s="220">
        <f>SUM(I592:I596)</f>
        <v>759355</v>
      </c>
      <c r="J591" s="220">
        <f>SUM(J592:J596)</f>
        <v>0</v>
      </c>
      <c r="K591" s="220">
        <f t="shared" ref="K591" si="1237">SUM(I591:J591)</f>
        <v>759355</v>
      </c>
      <c r="L591" s="719">
        <f>SUM(L592:L596)</f>
        <v>1302710</v>
      </c>
      <c r="M591" s="220">
        <f>SUM(M592:M596)</f>
        <v>0</v>
      </c>
      <c r="N591" s="220">
        <f t="shared" ref="N591" si="1238">SUM(L591:M591)</f>
        <v>1302710</v>
      </c>
      <c r="O591" s="220">
        <f>SUM(O592:O596)</f>
        <v>1302710</v>
      </c>
      <c r="P591" s="220">
        <f>SUM(P592:P596)</f>
        <v>0</v>
      </c>
      <c r="Q591" s="220">
        <f t="shared" ref="Q591" si="1239">SUM(O591:P591)</f>
        <v>1302710</v>
      </c>
      <c r="R591" s="220">
        <f>SUM(R592:R596)</f>
        <v>1302710</v>
      </c>
      <c r="S591" s="220">
        <f>SUM(S592:S596)</f>
        <v>0</v>
      </c>
      <c r="T591" s="220">
        <f t="shared" ref="T591" si="1240">SUM(R591:S591)</f>
        <v>1302710</v>
      </c>
      <c r="U591" s="220">
        <f>SUM(U592:U596)</f>
        <v>1302710</v>
      </c>
      <c r="V591" s="220">
        <f>SUM(V592:V596)</f>
        <v>0</v>
      </c>
      <c r="W591" s="220">
        <f t="shared" ref="W591:W599" si="1241">SUM(U591:V591)</f>
        <v>1302710</v>
      </c>
      <c r="X591" s="220">
        <f>SUM(X592:X596)</f>
        <v>759355</v>
      </c>
      <c r="Y591" s="220">
        <f>SUM(Y592:Y596)</f>
        <v>0</v>
      </c>
      <c r="Z591" s="220">
        <f>SUM(X591:Y591)</f>
        <v>759355</v>
      </c>
      <c r="AA591" s="220">
        <f>SUM(AA592:AA596)</f>
        <v>759355</v>
      </c>
      <c r="AB591" s="220">
        <f>SUM(AB592:AB596)</f>
        <v>0</v>
      </c>
      <c r="AC591" s="220">
        <f>SUM(AA591:AB591)</f>
        <v>759355</v>
      </c>
      <c r="AD591" s="220">
        <f t="shared" si="1223"/>
        <v>7488905</v>
      </c>
      <c r="AE591" s="220">
        <f t="shared" si="1224"/>
        <v>0</v>
      </c>
      <c r="AF591" s="220">
        <f t="shared" si="1233"/>
        <v>7488905</v>
      </c>
      <c r="AG591" s="220">
        <f>SUM(AG592:AG596)</f>
        <v>3364775</v>
      </c>
      <c r="AH591" s="220">
        <f>SUM(AH592:AH596)</f>
        <v>0</v>
      </c>
      <c r="AI591" s="220">
        <f t="shared" si="1234"/>
        <v>3364775</v>
      </c>
      <c r="AJ591" s="220">
        <f>SUM(AJ592:AJ596)</f>
        <v>0</v>
      </c>
      <c r="AK591" s="220">
        <f>SUM(AK592:AK596)</f>
        <v>0</v>
      </c>
      <c r="AL591" s="220"/>
      <c r="AM591" s="220">
        <f t="shared" ref="AM591:AM597" si="1242">SUM(AJ591:AL591)</f>
        <v>0</v>
      </c>
      <c r="AN591" s="220">
        <f>SUM(AN592:AN596)</f>
        <v>4124130</v>
      </c>
      <c r="AO591" s="220">
        <f>SUM(AO592:AO596)</f>
        <v>0</v>
      </c>
      <c r="AP591" s="220">
        <f t="shared" si="1236"/>
        <v>4124130</v>
      </c>
      <c r="AQ591" s="461">
        <f t="shared" si="1225"/>
        <v>0</v>
      </c>
    </row>
    <row r="592" spans="2:44" s="4" customFormat="1" ht="48" customHeight="1">
      <c r="B592" s="35" t="s">
        <v>1460</v>
      </c>
      <c r="C592" s="327" t="s">
        <v>1465</v>
      </c>
      <c r="D592" s="712"/>
      <c r="E592" s="39" t="s">
        <v>125</v>
      </c>
      <c r="F592" s="39"/>
      <c r="G592" s="71">
        <v>2024</v>
      </c>
      <c r="H592" s="71">
        <v>2030</v>
      </c>
      <c r="I592" s="115">
        <v>543355</v>
      </c>
      <c r="J592" s="115">
        <v>0</v>
      </c>
      <c r="K592" s="293">
        <f>SUM(I592:J592)</f>
        <v>543355</v>
      </c>
      <c r="L592" s="115">
        <v>543355</v>
      </c>
      <c r="M592" s="115">
        <v>0</v>
      </c>
      <c r="N592" s="293">
        <f>SUM(L592:M592)</f>
        <v>543355</v>
      </c>
      <c r="O592" s="115">
        <v>543355</v>
      </c>
      <c r="P592" s="115">
        <v>0</v>
      </c>
      <c r="Q592" s="293">
        <f>SUM(O592:P592)</f>
        <v>543355</v>
      </c>
      <c r="R592" s="115">
        <v>543355</v>
      </c>
      <c r="S592" s="115">
        <v>0</v>
      </c>
      <c r="T592" s="293">
        <f>SUM(R592:S592)</f>
        <v>543355</v>
      </c>
      <c r="U592" s="115">
        <v>543355</v>
      </c>
      <c r="V592" s="115">
        <v>0</v>
      </c>
      <c r="W592" s="293">
        <f t="shared" si="1241"/>
        <v>543355</v>
      </c>
      <c r="X592" s="115">
        <v>543355</v>
      </c>
      <c r="Y592" s="115">
        <v>0</v>
      </c>
      <c r="Z592" s="293">
        <f t="shared" ref="Z592:Z596" si="1243">SUM(X592:Y592)</f>
        <v>543355</v>
      </c>
      <c r="AA592" s="115">
        <v>543355</v>
      </c>
      <c r="AB592" s="115">
        <v>0</v>
      </c>
      <c r="AC592" s="293">
        <f t="shared" ref="AC592:AC596" si="1244">SUM(AA592:AB592)</f>
        <v>543355</v>
      </c>
      <c r="AD592" s="115">
        <f t="shared" si="1223"/>
        <v>3803485</v>
      </c>
      <c r="AE592" s="115">
        <f t="shared" si="1224"/>
        <v>0</v>
      </c>
      <c r="AF592" s="293">
        <f t="shared" si="1233"/>
        <v>3803485</v>
      </c>
      <c r="AG592" s="115">
        <f>543355*3</f>
        <v>1630065</v>
      </c>
      <c r="AH592" s="115">
        <v>0</v>
      </c>
      <c r="AI592" s="293">
        <f t="shared" si="1234"/>
        <v>1630065</v>
      </c>
      <c r="AJ592" s="115">
        <v>0</v>
      </c>
      <c r="AK592" s="115">
        <v>0</v>
      </c>
      <c r="AL592" s="115"/>
      <c r="AM592" s="293">
        <f t="shared" si="1242"/>
        <v>0</v>
      </c>
      <c r="AN592" s="115">
        <f>543355*4</f>
        <v>2173420</v>
      </c>
      <c r="AO592" s="115">
        <v>0</v>
      </c>
      <c r="AP592" s="293">
        <f t="shared" si="1236"/>
        <v>2173420</v>
      </c>
      <c r="AQ592" s="717">
        <f t="shared" si="1225"/>
        <v>0</v>
      </c>
    </row>
    <row r="593" spans="2:43" s="4" customFormat="1" ht="48" customHeight="1">
      <c r="B593" s="35" t="s">
        <v>1461</v>
      </c>
      <c r="C593" s="327" t="s">
        <v>1466</v>
      </c>
      <c r="D593" s="712"/>
      <c r="E593" s="39" t="s">
        <v>125</v>
      </c>
      <c r="F593" s="39"/>
      <c r="G593" s="71">
        <v>2025</v>
      </c>
      <c r="H593" s="71">
        <v>2028</v>
      </c>
      <c r="I593" s="115">
        <v>0</v>
      </c>
      <c r="J593" s="115">
        <v>0</v>
      </c>
      <c r="K593" s="293">
        <f t="shared" ref="K593:K596" si="1245">SUM(I593:J593)</f>
        <v>0</v>
      </c>
      <c r="L593" s="115">
        <v>543355</v>
      </c>
      <c r="M593" s="115">
        <v>0</v>
      </c>
      <c r="N593" s="293">
        <f t="shared" ref="N593:N596" si="1246">SUM(L593:M593)</f>
        <v>543355</v>
      </c>
      <c r="O593" s="115">
        <v>543355</v>
      </c>
      <c r="P593" s="115">
        <v>0</v>
      </c>
      <c r="Q593" s="293">
        <f t="shared" ref="Q593:Q596" si="1247">SUM(O593:P593)</f>
        <v>543355</v>
      </c>
      <c r="R593" s="115">
        <v>543355</v>
      </c>
      <c r="S593" s="115">
        <v>0</v>
      </c>
      <c r="T593" s="293">
        <f t="shared" ref="T593:T596" si="1248">SUM(R593:S593)</f>
        <v>543355</v>
      </c>
      <c r="U593" s="115">
        <v>543355</v>
      </c>
      <c r="V593" s="115">
        <v>0</v>
      </c>
      <c r="W593" s="293">
        <f t="shared" si="1241"/>
        <v>543355</v>
      </c>
      <c r="X593" s="115">
        <v>0</v>
      </c>
      <c r="Y593" s="115">
        <v>0</v>
      </c>
      <c r="Z593" s="293">
        <f t="shared" si="1243"/>
        <v>0</v>
      </c>
      <c r="AA593" s="115">
        <v>0</v>
      </c>
      <c r="AB593" s="115">
        <v>0</v>
      </c>
      <c r="AC593" s="293">
        <f t="shared" si="1244"/>
        <v>0</v>
      </c>
      <c r="AD593" s="115">
        <f t="shared" si="1223"/>
        <v>2173420</v>
      </c>
      <c r="AE593" s="115">
        <f t="shared" si="1224"/>
        <v>0</v>
      </c>
      <c r="AF593" s="293">
        <f t="shared" si="1233"/>
        <v>2173420</v>
      </c>
      <c r="AG593" s="115">
        <f>543355*2</f>
        <v>1086710</v>
      </c>
      <c r="AH593" s="115">
        <v>0</v>
      </c>
      <c r="AI593" s="293">
        <f t="shared" si="1234"/>
        <v>1086710</v>
      </c>
      <c r="AJ593" s="115">
        <v>0</v>
      </c>
      <c r="AK593" s="115">
        <v>0</v>
      </c>
      <c r="AL593" s="115"/>
      <c r="AM593" s="293">
        <f t="shared" si="1242"/>
        <v>0</v>
      </c>
      <c r="AN593" s="115">
        <f>543355*2</f>
        <v>1086710</v>
      </c>
      <c r="AO593" s="115">
        <v>0</v>
      </c>
      <c r="AP593" s="293">
        <f t="shared" si="1236"/>
        <v>1086710</v>
      </c>
      <c r="AQ593" s="717">
        <f t="shared" si="1225"/>
        <v>0</v>
      </c>
    </row>
    <row r="594" spans="2:43" s="4" customFormat="1" ht="48" customHeight="1">
      <c r="B594" s="35" t="s">
        <v>1462</v>
      </c>
      <c r="C594" s="327" t="s">
        <v>1467</v>
      </c>
      <c r="D594" s="712"/>
      <c r="E594" s="39" t="s">
        <v>125</v>
      </c>
      <c r="F594" s="39"/>
      <c r="G594" s="71">
        <v>2025</v>
      </c>
      <c r="H594" s="71">
        <v>2028</v>
      </c>
      <c r="I594" s="115">
        <v>0</v>
      </c>
      <c r="J594" s="115">
        <v>0</v>
      </c>
      <c r="K594" s="293">
        <f t="shared" si="1245"/>
        <v>0</v>
      </c>
      <c r="L594" s="115">
        <v>0</v>
      </c>
      <c r="M594" s="115">
        <v>0</v>
      </c>
      <c r="N594" s="293">
        <f t="shared" si="1246"/>
        <v>0</v>
      </c>
      <c r="O594" s="115">
        <v>0</v>
      </c>
      <c r="P594" s="115">
        <v>0</v>
      </c>
      <c r="Q594" s="293">
        <f t="shared" si="1247"/>
        <v>0</v>
      </c>
      <c r="R594" s="115">
        <v>0</v>
      </c>
      <c r="S594" s="115">
        <v>0</v>
      </c>
      <c r="T594" s="293">
        <f t="shared" si="1248"/>
        <v>0</v>
      </c>
      <c r="U594" s="115">
        <v>0</v>
      </c>
      <c r="V594" s="115">
        <v>0</v>
      </c>
      <c r="W594" s="293">
        <f t="shared" si="1241"/>
        <v>0</v>
      </c>
      <c r="X594" s="115">
        <v>0</v>
      </c>
      <c r="Y594" s="115">
        <v>0</v>
      </c>
      <c r="Z594" s="293">
        <f t="shared" si="1243"/>
        <v>0</v>
      </c>
      <c r="AA594" s="115">
        <v>0</v>
      </c>
      <c r="AB594" s="115">
        <v>0</v>
      </c>
      <c r="AC594" s="293">
        <f t="shared" si="1244"/>
        <v>0</v>
      </c>
      <c r="AD594" s="115">
        <v>0</v>
      </c>
      <c r="AE594" s="115">
        <f t="shared" si="1224"/>
        <v>0</v>
      </c>
      <c r="AF594" s="293">
        <f t="shared" si="1233"/>
        <v>0</v>
      </c>
      <c r="AG594" s="115">
        <v>0</v>
      </c>
      <c r="AH594" s="115">
        <v>0</v>
      </c>
      <c r="AI594" s="293">
        <f t="shared" si="1234"/>
        <v>0</v>
      </c>
      <c r="AJ594" s="115">
        <v>0</v>
      </c>
      <c r="AK594" s="115">
        <v>0</v>
      </c>
      <c r="AL594" s="115"/>
      <c r="AM594" s="293">
        <f t="shared" si="1242"/>
        <v>0</v>
      </c>
      <c r="AN594" s="115">
        <v>0</v>
      </c>
      <c r="AO594" s="115">
        <v>0</v>
      </c>
      <c r="AP594" s="293">
        <f t="shared" si="1236"/>
        <v>0</v>
      </c>
      <c r="AQ594" s="717">
        <f t="shared" si="1225"/>
        <v>0</v>
      </c>
    </row>
    <row r="595" spans="2:43" s="4" customFormat="1" ht="48" customHeight="1">
      <c r="B595" s="35" t="s">
        <v>1463</v>
      </c>
      <c r="C595" s="327" t="s">
        <v>1468</v>
      </c>
      <c r="D595" s="712"/>
      <c r="E595" s="39" t="s">
        <v>125</v>
      </c>
      <c r="F595" s="39"/>
      <c r="G595" s="71">
        <v>2025</v>
      </c>
      <c r="H595" s="71">
        <v>2028</v>
      </c>
      <c r="I595" s="115">
        <v>0</v>
      </c>
      <c r="J595" s="115">
        <v>0</v>
      </c>
      <c r="K595" s="293">
        <f t="shared" si="1245"/>
        <v>0</v>
      </c>
      <c r="L595" s="115">
        <v>0</v>
      </c>
      <c r="M595" s="115">
        <v>0</v>
      </c>
      <c r="N595" s="293">
        <f t="shared" si="1246"/>
        <v>0</v>
      </c>
      <c r="O595" s="115">
        <v>0</v>
      </c>
      <c r="P595" s="115">
        <v>0</v>
      </c>
      <c r="Q595" s="293">
        <f t="shared" si="1247"/>
        <v>0</v>
      </c>
      <c r="R595" s="115">
        <v>0</v>
      </c>
      <c r="S595" s="115">
        <v>0</v>
      </c>
      <c r="T595" s="293">
        <f t="shared" si="1248"/>
        <v>0</v>
      </c>
      <c r="U595" s="115">
        <v>0</v>
      </c>
      <c r="V595" s="115">
        <v>0</v>
      </c>
      <c r="W595" s="293">
        <f t="shared" si="1241"/>
        <v>0</v>
      </c>
      <c r="X595" s="115">
        <v>0</v>
      </c>
      <c r="Y595" s="115">
        <v>0</v>
      </c>
      <c r="Z595" s="293">
        <f t="shared" si="1243"/>
        <v>0</v>
      </c>
      <c r="AA595" s="115">
        <v>0</v>
      </c>
      <c r="AB595" s="115">
        <v>0</v>
      </c>
      <c r="AC595" s="293">
        <f t="shared" si="1244"/>
        <v>0</v>
      </c>
      <c r="AD595" s="115">
        <v>0</v>
      </c>
      <c r="AE595" s="115">
        <f t="shared" si="1224"/>
        <v>0</v>
      </c>
      <c r="AF595" s="293">
        <f t="shared" si="1233"/>
        <v>0</v>
      </c>
      <c r="AG595" s="115">
        <v>0</v>
      </c>
      <c r="AH595" s="115">
        <v>0</v>
      </c>
      <c r="AI595" s="293">
        <f t="shared" si="1234"/>
        <v>0</v>
      </c>
      <c r="AJ595" s="115">
        <v>0</v>
      </c>
      <c r="AK595" s="115">
        <v>0</v>
      </c>
      <c r="AL595" s="115"/>
      <c r="AM595" s="293">
        <f t="shared" si="1242"/>
        <v>0</v>
      </c>
      <c r="AN595" s="115">
        <v>0</v>
      </c>
      <c r="AO595" s="115">
        <v>0</v>
      </c>
      <c r="AP595" s="293">
        <f t="shared" si="1236"/>
        <v>0</v>
      </c>
      <c r="AQ595" s="717">
        <f t="shared" si="1225"/>
        <v>0</v>
      </c>
    </row>
    <row r="596" spans="2:43" s="4" customFormat="1" ht="48" customHeight="1">
      <c r="B596" s="35" t="s">
        <v>1464</v>
      </c>
      <c r="C596" s="327" t="s">
        <v>1469</v>
      </c>
      <c r="D596" s="712"/>
      <c r="E596" s="39" t="s">
        <v>125</v>
      </c>
      <c r="F596" s="39" t="s">
        <v>1102</v>
      </c>
      <c r="G596" s="71">
        <v>2024</v>
      </c>
      <c r="H596" s="71">
        <v>2030</v>
      </c>
      <c r="I596" s="115">
        <v>216000</v>
      </c>
      <c r="J596" s="115">
        <v>0</v>
      </c>
      <c r="K596" s="293">
        <f t="shared" si="1245"/>
        <v>216000</v>
      </c>
      <c r="L596" s="115">
        <v>216000</v>
      </c>
      <c r="M596" s="115">
        <v>0</v>
      </c>
      <c r="N596" s="293">
        <f t="shared" si="1246"/>
        <v>216000</v>
      </c>
      <c r="O596" s="115">
        <v>216000</v>
      </c>
      <c r="P596" s="115">
        <v>0</v>
      </c>
      <c r="Q596" s="293">
        <f t="shared" si="1247"/>
        <v>216000</v>
      </c>
      <c r="R596" s="115">
        <v>216000</v>
      </c>
      <c r="S596" s="115">
        <v>0</v>
      </c>
      <c r="T596" s="293">
        <f t="shared" si="1248"/>
        <v>216000</v>
      </c>
      <c r="U596" s="115">
        <v>216000</v>
      </c>
      <c r="V596" s="115">
        <v>0</v>
      </c>
      <c r="W596" s="293">
        <f t="shared" si="1241"/>
        <v>216000</v>
      </c>
      <c r="X596" s="115">
        <v>216000</v>
      </c>
      <c r="Y596" s="115">
        <v>0</v>
      </c>
      <c r="Z596" s="293">
        <f t="shared" si="1243"/>
        <v>216000</v>
      </c>
      <c r="AA596" s="115">
        <v>216000</v>
      </c>
      <c r="AB596" s="115">
        <v>0</v>
      </c>
      <c r="AC596" s="293">
        <f t="shared" si="1244"/>
        <v>216000</v>
      </c>
      <c r="AD596" s="115">
        <f t="shared" si="1223"/>
        <v>1512000</v>
      </c>
      <c r="AE596" s="115">
        <f t="shared" si="1224"/>
        <v>0</v>
      </c>
      <c r="AF596" s="293">
        <f t="shared" si="1233"/>
        <v>1512000</v>
      </c>
      <c r="AG596" s="115">
        <f>216000*3</f>
        <v>648000</v>
      </c>
      <c r="AH596" s="115">
        <v>0</v>
      </c>
      <c r="AI596" s="293">
        <f t="shared" si="1234"/>
        <v>648000</v>
      </c>
      <c r="AJ596" s="115">
        <v>0</v>
      </c>
      <c r="AK596" s="115">
        <v>0</v>
      </c>
      <c r="AL596" s="115"/>
      <c r="AM596" s="293">
        <f t="shared" si="1242"/>
        <v>0</v>
      </c>
      <c r="AN596" s="115">
        <f>216000*4</f>
        <v>864000</v>
      </c>
      <c r="AO596" s="115">
        <v>0</v>
      </c>
      <c r="AP596" s="293">
        <f t="shared" si="1236"/>
        <v>864000</v>
      </c>
      <c r="AQ596" s="717">
        <f t="shared" si="1225"/>
        <v>0</v>
      </c>
    </row>
    <row r="597" spans="2:43" s="4" customFormat="1" ht="48" customHeight="1">
      <c r="B597" s="413" t="s">
        <v>1470</v>
      </c>
      <c r="C597" s="720" t="s">
        <v>1473</v>
      </c>
      <c r="D597" s="721"/>
      <c r="E597" s="722" t="s">
        <v>125</v>
      </c>
      <c r="F597" s="722" t="s">
        <v>541</v>
      </c>
      <c r="G597" s="718">
        <v>2024</v>
      </c>
      <c r="H597" s="718">
        <v>2030</v>
      </c>
      <c r="I597" s="719">
        <f>SUM(I598:I599)</f>
        <v>975355</v>
      </c>
      <c r="J597" s="719">
        <f>SUM(J598:J599)</f>
        <v>0</v>
      </c>
      <c r="K597" s="719">
        <f t="shared" ref="K597" si="1249">SUM(I597:J597)</f>
        <v>975355</v>
      </c>
      <c r="L597" s="220">
        <f>SUM(L598:L599)</f>
        <v>975355</v>
      </c>
      <c r="M597" s="220">
        <f>SUM(M598:M599)</f>
        <v>0</v>
      </c>
      <c r="N597" s="220">
        <f t="shared" ref="N597" si="1250">SUM(L597:M597)</f>
        <v>975355</v>
      </c>
      <c r="O597" s="220">
        <f>SUM(O598:O599)</f>
        <v>975355</v>
      </c>
      <c r="P597" s="220">
        <f>SUM(P598:P599)</f>
        <v>0</v>
      </c>
      <c r="Q597" s="220">
        <f t="shared" ref="Q597" si="1251">SUM(O597:P597)</f>
        <v>975355</v>
      </c>
      <c r="R597" s="220">
        <f>SUM(R598:R599)</f>
        <v>432000</v>
      </c>
      <c r="S597" s="220">
        <f>SUM(S598:S599)</f>
        <v>0</v>
      </c>
      <c r="T597" s="220">
        <f t="shared" ref="T597" si="1252">SUM(R597:S597)</f>
        <v>432000</v>
      </c>
      <c r="U597" s="220">
        <f>SUM(U598:U599)</f>
        <v>432000</v>
      </c>
      <c r="V597" s="220">
        <f>SUM(V598:V599)</f>
        <v>0</v>
      </c>
      <c r="W597" s="220">
        <f t="shared" si="1241"/>
        <v>432000</v>
      </c>
      <c r="X597" s="220">
        <f>SUM(X598:X599)</f>
        <v>432000</v>
      </c>
      <c r="Y597" s="220">
        <f>SUM(Y598:Y599)</f>
        <v>0</v>
      </c>
      <c r="Z597" s="220">
        <f>SUM(X597:Y597)</f>
        <v>432000</v>
      </c>
      <c r="AA597" s="220">
        <f>SUM(AA598:AA599)</f>
        <v>432000</v>
      </c>
      <c r="AB597" s="220">
        <f>SUM(AB598:AB599)</f>
        <v>0</v>
      </c>
      <c r="AC597" s="220">
        <f>SUM(AA597:AB597)</f>
        <v>432000</v>
      </c>
      <c r="AD597" s="220">
        <f t="shared" si="1223"/>
        <v>4654065</v>
      </c>
      <c r="AE597" s="220">
        <f t="shared" si="1224"/>
        <v>0</v>
      </c>
      <c r="AF597" s="220">
        <f t="shared" si="1233"/>
        <v>4654065</v>
      </c>
      <c r="AG597" s="220">
        <f>SUM(AG598:AG599)</f>
        <v>2926065</v>
      </c>
      <c r="AH597" s="220">
        <f>SUM(AH598:AH599)</f>
        <v>0</v>
      </c>
      <c r="AI597" s="220">
        <f t="shared" si="1234"/>
        <v>2926065</v>
      </c>
      <c r="AJ597" s="220">
        <f>SUM(AJ598:AJ599)</f>
        <v>0</v>
      </c>
      <c r="AK597" s="220">
        <f>SUM(AK598:AK599)</f>
        <v>0</v>
      </c>
      <c r="AL597" s="220"/>
      <c r="AM597" s="220">
        <f t="shared" si="1242"/>
        <v>0</v>
      </c>
      <c r="AN597" s="220">
        <f>SUM(AN598:AN599)</f>
        <v>1728000</v>
      </c>
      <c r="AO597" s="220">
        <f>SUM(AO598:AO599)</f>
        <v>0</v>
      </c>
      <c r="AP597" s="220">
        <f t="shared" si="1236"/>
        <v>1728000</v>
      </c>
      <c r="AQ597" s="461">
        <f t="shared" si="1225"/>
        <v>0</v>
      </c>
    </row>
    <row r="598" spans="2:43" s="4" customFormat="1" ht="48" customHeight="1">
      <c r="B598" s="35" t="s">
        <v>1471</v>
      </c>
      <c r="C598" s="66" t="s">
        <v>1474</v>
      </c>
      <c r="D598" s="712"/>
      <c r="E598" s="39" t="s">
        <v>125</v>
      </c>
      <c r="F598" s="39"/>
      <c r="G598" s="546">
        <v>2024</v>
      </c>
      <c r="H598" s="71">
        <v>2026</v>
      </c>
      <c r="I598" s="115">
        <v>543355</v>
      </c>
      <c r="J598" s="115">
        <v>0</v>
      </c>
      <c r="K598" s="293">
        <f>SUM(I598:J598)</f>
        <v>543355</v>
      </c>
      <c r="L598" s="115">
        <v>543355</v>
      </c>
      <c r="M598" s="115">
        <v>0</v>
      </c>
      <c r="N598" s="293">
        <f>SUM(L598:M598)</f>
        <v>543355</v>
      </c>
      <c r="O598" s="115">
        <v>543355</v>
      </c>
      <c r="P598" s="115">
        <v>0</v>
      </c>
      <c r="Q598" s="293">
        <f>SUM(O598:P598)</f>
        <v>543355</v>
      </c>
      <c r="R598" s="115">
        <v>0</v>
      </c>
      <c r="S598" s="115">
        <v>0</v>
      </c>
      <c r="T598" s="293">
        <f>SUM(R598:S598)</f>
        <v>0</v>
      </c>
      <c r="U598" s="115">
        <v>0</v>
      </c>
      <c r="V598" s="115">
        <v>0</v>
      </c>
      <c r="W598" s="293">
        <f t="shared" si="1241"/>
        <v>0</v>
      </c>
      <c r="X598" s="115">
        <v>0</v>
      </c>
      <c r="Y598" s="115">
        <v>0</v>
      </c>
      <c r="Z598" s="293">
        <f t="shared" ref="Z598:Z599" si="1253">SUM(X598:Y598)</f>
        <v>0</v>
      </c>
      <c r="AA598" s="115">
        <v>0</v>
      </c>
      <c r="AB598" s="115">
        <v>0</v>
      </c>
      <c r="AC598" s="293">
        <f t="shared" ref="AC598:AC599" si="1254">SUM(AA598:AB598)</f>
        <v>0</v>
      </c>
      <c r="AD598" s="115">
        <f t="shared" si="1223"/>
        <v>1630065</v>
      </c>
      <c r="AE598" s="115">
        <f t="shared" si="1224"/>
        <v>0</v>
      </c>
      <c r="AF598" s="293">
        <f>AD598+AE598</f>
        <v>1630065</v>
      </c>
      <c r="AG598" s="115">
        <f>543355*3</f>
        <v>1630065</v>
      </c>
      <c r="AH598" s="115">
        <v>0</v>
      </c>
      <c r="AI598" s="293">
        <f>SUM(AG598:AH598)</f>
        <v>1630065</v>
      </c>
      <c r="AJ598" s="115">
        <v>0</v>
      </c>
      <c r="AK598" s="115">
        <v>0</v>
      </c>
      <c r="AL598" s="115"/>
      <c r="AM598" s="293">
        <f t="shared" ref="AM598:AM599" si="1255">AJ598+AK598</f>
        <v>0</v>
      </c>
      <c r="AN598" s="115">
        <v>0</v>
      </c>
      <c r="AO598" s="115">
        <v>0</v>
      </c>
      <c r="AP598" s="293">
        <f t="shared" si="1236"/>
        <v>0</v>
      </c>
      <c r="AQ598" s="717">
        <f t="shared" si="1225"/>
        <v>0</v>
      </c>
    </row>
    <row r="599" spans="2:43" s="4" customFormat="1" ht="48" customHeight="1">
      <c r="B599" s="35" t="s">
        <v>1472</v>
      </c>
      <c r="C599" s="66" t="s">
        <v>1475</v>
      </c>
      <c r="D599" s="712"/>
      <c r="E599" s="39" t="s">
        <v>125</v>
      </c>
      <c r="F599" s="39" t="s">
        <v>541</v>
      </c>
      <c r="G599" s="546">
        <v>2024</v>
      </c>
      <c r="H599" s="71">
        <v>2030</v>
      </c>
      <c r="I599" s="115">
        <v>432000</v>
      </c>
      <c r="J599" s="115">
        <v>0</v>
      </c>
      <c r="K599" s="293">
        <f t="shared" ref="K599" si="1256">SUM(I599:J599)</f>
        <v>432000</v>
      </c>
      <c r="L599" s="115">
        <v>432000</v>
      </c>
      <c r="M599" s="115">
        <v>0</v>
      </c>
      <c r="N599" s="293">
        <f>SUM(L599:M599)</f>
        <v>432000</v>
      </c>
      <c r="O599" s="115">
        <v>432000</v>
      </c>
      <c r="P599" s="115">
        <v>0</v>
      </c>
      <c r="Q599" s="293">
        <f>SUM(O599:P599)</f>
        <v>432000</v>
      </c>
      <c r="R599" s="115">
        <v>432000</v>
      </c>
      <c r="S599" s="115">
        <v>0</v>
      </c>
      <c r="T599" s="293">
        <f t="shared" ref="T599" si="1257">SUM(R599:S599)</f>
        <v>432000</v>
      </c>
      <c r="U599" s="115">
        <v>432000</v>
      </c>
      <c r="V599" s="115">
        <v>0</v>
      </c>
      <c r="W599" s="293">
        <f t="shared" si="1241"/>
        <v>432000</v>
      </c>
      <c r="X599" s="115">
        <v>432000</v>
      </c>
      <c r="Y599" s="115">
        <v>0</v>
      </c>
      <c r="Z599" s="293">
        <f t="shared" si="1253"/>
        <v>432000</v>
      </c>
      <c r="AA599" s="115">
        <v>432000</v>
      </c>
      <c r="AB599" s="115">
        <v>0</v>
      </c>
      <c r="AC599" s="293">
        <f t="shared" si="1254"/>
        <v>432000</v>
      </c>
      <c r="AD599" s="115">
        <f t="shared" si="1223"/>
        <v>3024000</v>
      </c>
      <c r="AE599" s="115">
        <f t="shared" si="1224"/>
        <v>0</v>
      </c>
      <c r="AF599" s="293">
        <f t="shared" ref="AF599" si="1258">AD599+AE599</f>
        <v>3024000</v>
      </c>
      <c r="AG599" s="115">
        <f>432000*3</f>
        <v>1296000</v>
      </c>
      <c r="AH599" s="115">
        <v>0</v>
      </c>
      <c r="AI599" s="293">
        <f t="shared" ref="AI599" si="1259">SUM(AG599:AH599)</f>
        <v>1296000</v>
      </c>
      <c r="AJ599" s="115">
        <v>0</v>
      </c>
      <c r="AK599" s="115">
        <v>0</v>
      </c>
      <c r="AL599" s="115"/>
      <c r="AM599" s="293">
        <f t="shared" si="1255"/>
        <v>0</v>
      </c>
      <c r="AN599" s="115">
        <f>432000*4</f>
        <v>1728000</v>
      </c>
      <c r="AO599" s="115">
        <v>0</v>
      </c>
      <c r="AP599" s="293">
        <f t="shared" si="1236"/>
        <v>1728000</v>
      </c>
      <c r="AQ599" s="717">
        <f t="shared" si="1225"/>
        <v>0</v>
      </c>
    </row>
    <row r="600" spans="2:43" s="4" customFormat="1" ht="48" customHeight="1">
      <c r="B600" s="730" t="s">
        <v>1476</v>
      </c>
      <c r="C600" s="728" t="s">
        <v>1479</v>
      </c>
      <c r="D600" s="723"/>
      <c r="E600" s="724" t="s">
        <v>125</v>
      </c>
      <c r="F600" s="724" t="s">
        <v>541</v>
      </c>
      <c r="G600" s="729">
        <v>2024</v>
      </c>
      <c r="H600" s="725">
        <v>2030</v>
      </c>
      <c r="I600" s="726">
        <f>SUM(I601:I602)</f>
        <v>543355</v>
      </c>
      <c r="J600" s="726">
        <f>SUM(J601:J602)</f>
        <v>0</v>
      </c>
      <c r="K600" s="726">
        <f>SUM(I600:J600)</f>
        <v>543355</v>
      </c>
      <c r="L600" s="726">
        <f>SUM(L601:L602)</f>
        <v>1086710</v>
      </c>
      <c r="M600" s="726">
        <f>SUM(M601:M602)</f>
        <v>0</v>
      </c>
      <c r="N600" s="726">
        <f>SUM(L600:M600)</f>
        <v>1086710</v>
      </c>
      <c r="O600" s="726">
        <f>SUM(O601:O602)</f>
        <v>1086710</v>
      </c>
      <c r="P600" s="726">
        <f>SUM(P601:P602)</f>
        <v>0</v>
      </c>
      <c r="Q600" s="726">
        <f>SUM(O600:P600)</f>
        <v>1086710</v>
      </c>
      <c r="R600" s="726">
        <f>SUM(R601:R602)</f>
        <v>1086710</v>
      </c>
      <c r="S600" s="726">
        <f>SUM(S601:S602)</f>
        <v>0</v>
      </c>
      <c r="T600" s="726">
        <f>SUM(R600:S600)</f>
        <v>1086710</v>
      </c>
      <c r="U600" s="726">
        <f>SUM(U601:U602)</f>
        <v>1086710</v>
      </c>
      <c r="V600" s="726">
        <f>SUM(V601:V602)</f>
        <v>0</v>
      </c>
      <c r="W600" s="726">
        <f>SUM(U600:V600)</f>
        <v>1086710</v>
      </c>
      <c r="X600" s="726">
        <f>SUM(X601:X602)</f>
        <v>1086710</v>
      </c>
      <c r="Y600" s="726">
        <f>SUM(Y601:Y602)</f>
        <v>0</v>
      </c>
      <c r="Z600" s="726">
        <f>SUM(X600:Y600)</f>
        <v>1086710</v>
      </c>
      <c r="AA600" s="726">
        <f>SUM(AA601:AA602)</f>
        <v>1086710</v>
      </c>
      <c r="AB600" s="726">
        <f>SUM(AB601:AB602)</f>
        <v>0</v>
      </c>
      <c r="AC600" s="726">
        <f>SUM(AA600:AB600)</f>
        <v>1086710</v>
      </c>
      <c r="AD600" s="726">
        <f t="shared" ref="AD600:AE602" si="1260">I600+L600+O600+R600+U600+X600+AA600</f>
        <v>7063615</v>
      </c>
      <c r="AE600" s="726">
        <f t="shared" si="1260"/>
        <v>0</v>
      </c>
      <c r="AF600" s="726">
        <f>SUM(AD600:AE600)</f>
        <v>7063615</v>
      </c>
      <c r="AG600" s="726">
        <f>SUM(AG601:AG602)</f>
        <v>2716775</v>
      </c>
      <c r="AH600" s="726">
        <f>SUM(AH601:AH602)</f>
        <v>0</v>
      </c>
      <c r="AI600" s="726">
        <f>SUM(AG600:AH600)</f>
        <v>2716775</v>
      </c>
      <c r="AJ600" s="726">
        <f>SUM(AJ601:AJ602)</f>
        <v>0</v>
      </c>
      <c r="AK600" s="726">
        <f>SUM(AK601:AK602)</f>
        <v>0</v>
      </c>
      <c r="AL600" s="726"/>
      <c r="AM600" s="726">
        <f>SUM(AJ600:AL600)</f>
        <v>0</v>
      </c>
      <c r="AN600" s="726">
        <f>SUM(AN601:AN602)</f>
        <v>4346840</v>
      </c>
      <c r="AO600" s="726">
        <f>SUM(AO601:AO602)</f>
        <v>0</v>
      </c>
      <c r="AP600" s="726">
        <f>SUM(AN600:AO600)</f>
        <v>4346840</v>
      </c>
      <c r="AQ600" s="727">
        <f>SUM(AP600+AM600+AI600)-AF600</f>
        <v>0</v>
      </c>
    </row>
    <row r="601" spans="2:43" s="4" customFormat="1" ht="48" customHeight="1">
      <c r="B601" s="35" t="s">
        <v>1477</v>
      </c>
      <c r="C601" s="353" t="s">
        <v>1480</v>
      </c>
      <c r="D601" s="712"/>
      <c r="E601" s="39" t="s">
        <v>125</v>
      </c>
      <c r="F601" s="39" t="s">
        <v>541</v>
      </c>
      <c r="G601" s="546">
        <v>2024</v>
      </c>
      <c r="H601" s="71">
        <v>2030</v>
      </c>
      <c r="I601" s="115">
        <v>543355</v>
      </c>
      <c r="J601" s="115">
        <v>0</v>
      </c>
      <c r="K601" s="293">
        <f>SUM(I601:J601)</f>
        <v>543355</v>
      </c>
      <c r="L601" s="115">
        <v>543355</v>
      </c>
      <c r="M601" s="115">
        <v>0</v>
      </c>
      <c r="N601" s="293">
        <f>SUM(L601:M601)</f>
        <v>543355</v>
      </c>
      <c r="O601" s="115">
        <v>543355</v>
      </c>
      <c r="P601" s="115">
        <v>0</v>
      </c>
      <c r="Q601" s="293">
        <f>SUM(O601:P601)</f>
        <v>543355</v>
      </c>
      <c r="R601" s="115">
        <v>543355</v>
      </c>
      <c r="S601" s="115">
        <v>0</v>
      </c>
      <c r="T601" s="293">
        <f>SUM(R601:S601)</f>
        <v>543355</v>
      </c>
      <c r="U601" s="115">
        <v>543355</v>
      </c>
      <c r="V601" s="115">
        <v>0</v>
      </c>
      <c r="W601" s="293">
        <f>SUM(U601:V601)</f>
        <v>543355</v>
      </c>
      <c r="X601" s="115">
        <v>543355</v>
      </c>
      <c r="Y601" s="115">
        <v>0</v>
      </c>
      <c r="Z601" s="293">
        <f>SUM(X601:Y601)</f>
        <v>543355</v>
      </c>
      <c r="AA601" s="115">
        <v>543355</v>
      </c>
      <c r="AB601" s="115">
        <v>0</v>
      </c>
      <c r="AC601" s="293">
        <f>SUM(AA601:AB601)</f>
        <v>543355</v>
      </c>
      <c r="AD601" s="115">
        <f t="shared" si="1260"/>
        <v>3803485</v>
      </c>
      <c r="AE601" s="115">
        <f t="shared" si="1260"/>
        <v>0</v>
      </c>
      <c r="AF601" s="293">
        <f>AD601+AE601</f>
        <v>3803485</v>
      </c>
      <c r="AG601" s="115">
        <f>543355*3</f>
        <v>1630065</v>
      </c>
      <c r="AH601" s="115">
        <v>0</v>
      </c>
      <c r="AI601" s="293">
        <f>SUM(AG601:AH601)</f>
        <v>1630065</v>
      </c>
      <c r="AJ601" s="115">
        <v>0</v>
      </c>
      <c r="AK601" s="115">
        <v>0</v>
      </c>
      <c r="AL601" s="115"/>
      <c r="AM601" s="293">
        <f>AJ601+AK601</f>
        <v>0</v>
      </c>
      <c r="AN601" s="115">
        <f>543355*4</f>
        <v>2173420</v>
      </c>
      <c r="AO601" s="115">
        <v>0</v>
      </c>
      <c r="AP601" s="293">
        <f>SUM(AN601:AO601)</f>
        <v>2173420</v>
      </c>
      <c r="AQ601" s="717">
        <f>SUM(AP601+AM601+AI601)-AF601</f>
        <v>0</v>
      </c>
    </row>
    <row r="602" spans="2:43" s="4" customFormat="1" ht="48" customHeight="1">
      <c r="B602" s="35" t="s">
        <v>1478</v>
      </c>
      <c r="C602" s="353" t="s">
        <v>1481</v>
      </c>
      <c r="D602" s="712"/>
      <c r="E602" s="39" t="s">
        <v>125</v>
      </c>
      <c r="F602" s="39" t="s">
        <v>541</v>
      </c>
      <c r="G602" s="546">
        <v>2025</v>
      </c>
      <c r="H602" s="71">
        <v>2030</v>
      </c>
      <c r="I602" s="115">
        <v>0</v>
      </c>
      <c r="J602" s="115">
        <v>0</v>
      </c>
      <c r="K602" s="293">
        <f>SUM(I602:J602)</f>
        <v>0</v>
      </c>
      <c r="L602" s="115">
        <v>543355</v>
      </c>
      <c r="M602" s="115">
        <v>0</v>
      </c>
      <c r="N602" s="293">
        <f>SUM(L602:M602)</f>
        <v>543355</v>
      </c>
      <c r="O602" s="115">
        <v>543355</v>
      </c>
      <c r="P602" s="115">
        <v>0</v>
      </c>
      <c r="Q602" s="293">
        <f>SUM(O602:P602)</f>
        <v>543355</v>
      </c>
      <c r="R602" s="115">
        <v>543355</v>
      </c>
      <c r="S602" s="115">
        <v>0</v>
      </c>
      <c r="T602" s="293">
        <f>SUM(R602:S602)</f>
        <v>543355</v>
      </c>
      <c r="U602" s="115">
        <v>543355</v>
      </c>
      <c r="V602" s="115">
        <v>0</v>
      </c>
      <c r="W602" s="293">
        <f>SUM(U602:V602)</f>
        <v>543355</v>
      </c>
      <c r="X602" s="115">
        <v>543355</v>
      </c>
      <c r="Y602" s="115">
        <v>0</v>
      </c>
      <c r="Z602" s="293">
        <f>SUM(X602:Y602)</f>
        <v>543355</v>
      </c>
      <c r="AA602" s="115">
        <v>543355</v>
      </c>
      <c r="AB602" s="115">
        <v>0</v>
      </c>
      <c r="AC602" s="293">
        <f>SUM(AA602:AB602)</f>
        <v>543355</v>
      </c>
      <c r="AD602" s="115">
        <f t="shared" si="1260"/>
        <v>3260130</v>
      </c>
      <c r="AE602" s="115">
        <f t="shared" si="1260"/>
        <v>0</v>
      </c>
      <c r="AF602" s="293">
        <f>AD602+AE602</f>
        <v>3260130</v>
      </c>
      <c r="AG602" s="115">
        <f>543355*2</f>
        <v>1086710</v>
      </c>
      <c r="AH602" s="115">
        <v>0</v>
      </c>
      <c r="AI602" s="293">
        <f>SUM(AG602:AH602)</f>
        <v>1086710</v>
      </c>
      <c r="AJ602" s="115">
        <v>0</v>
      </c>
      <c r="AK602" s="115">
        <v>0</v>
      </c>
      <c r="AL602" s="115"/>
      <c r="AM602" s="293">
        <f>AJ602+AK602</f>
        <v>0</v>
      </c>
      <c r="AN602" s="115">
        <f>543355*4</f>
        <v>2173420</v>
      </c>
      <c r="AO602" s="115">
        <v>0</v>
      </c>
      <c r="AP602" s="293">
        <f>SUM(AN602:AO602)</f>
        <v>2173420</v>
      </c>
      <c r="AQ602" s="717">
        <f>SUM(AP602+AM602+AI602)-AF602</f>
        <v>0</v>
      </c>
    </row>
    <row r="603" spans="2:43" s="4" customFormat="1" ht="48" customHeight="1">
      <c r="B603" s="210" t="s">
        <v>1482</v>
      </c>
      <c r="C603" s="287" t="s">
        <v>1489</v>
      </c>
      <c r="D603" s="217"/>
      <c r="E603" s="543" t="s">
        <v>1496</v>
      </c>
      <c r="F603" s="543" t="s">
        <v>1497</v>
      </c>
      <c r="G603" s="350">
        <v>2024</v>
      </c>
      <c r="H603" s="350">
        <v>2030</v>
      </c>
      <c r="I603" s="220">
        <f>SUM(I604:I609)</f>
        <v>2765743</v>
      </c>
      <c r="J603" s="220">
        <f>SUM(J604:J609)</f>
        <v>0</v>
      </c>
      <c r="K603" s="220">
        <f t="shared" ref="K603" si="1261">SUM(I603:J603)</f>
        <v>2765743</v>
      </c>
      <c r="L603" s="220">
        <f>SUM(L604:L609)</f>
        <v>2765743</v>
      </c>
      <c r="M603" s="220">
        <f>SUM(M604:M609)</f>
        <v>0</v>
      </c>
      <c r="N603" s="220">
        <f t="shared" ref="N603" si="1262">SUM(L603:M603)</f>
        <v>2765743</v>
      </c>
      <c r="O603" s="220">
        <f>SUM(O604:O609)</f>
        <v>2765743</v>
      </c>
      <c r="P603" s="220">
        <f>SUM(P604:P609)</f>
        <v>0</v>
      </c>
      <c r="Q603" s="220">
        <f t="shared" ref="Q603" si="1263">SUM(O603:P603)</f>
        <v>2765743</v>
      </c>
      <c r="R603" s="220">
        <f>SUM(R604:R609)</f>
        <v>2765743</v>
      </c>
      <c r="S603" s="220">
        <f>SUM(S604:S609)</f>
        <v>0</v>
      </c>
      <c r="T603" s="220">
        <f t="shared" ref="T603" si="1264">SUM(R603:S603)</f>
        <v>2765743</v>
      </c>
      <c r="U603" s="220">
        <f>SUM(U604:U609)</f>
        <v>2765743</v>
      </c>
      <c r="V603" s="220">
        <f>SUM(V604:V609)</f>
        <v>0</v>
      </c>
      <c r="W603" s="220">
        <f t="shared" ref="W603:W611" si="1265">SUM(U603:V603)</f>
        <v>2765743</v>
      </c>
      <c r="X603" s="220">
        <f>SUM(X604:X609)</f>
        <v>2765743</v>
      </c>
      <c r="Y603" s="220">
        <f>SUM(Y604:Y609)</f>
        <v>0</v>
      </c>
      <c r="Z603" s="220">
        <f>SUM(X603:Y603)</f>
        <v>2765743</v>
      </c>
      <c r="AA603" s="220">
        <f>SUM(AA604:AA609)</f>
        <v>2765743</v>
      </c>
      <c r="AB603" s="220">
        <f>SUM(AB604:AB609)</f>
        <v>0</v>
      </c>
      <c r="AC603" s="220">
        <f>SUM(AA603:AB603)</f>
        <v>2765743</v>
      </c>
      <c r="AD603" s="220">
        <f t="shared" ref="AD603:AD611" si="1266">I603+L603+O603+R603+U603+X603+AA603</f>
        <v>19360201</v>
      </c>
      <c r="AE603" s="220">
        <f t="shared" ref="AE603:AE611" si="1267">J603+M603+P603+S603+V603+Y603+AB603</f>
        <v>0</v>
      </c>
      <c r="AF603" s="220">
        <f t="shared" ref="AF603:AF610" si="1268">SUM(AD603:AE603)</f>
        <v>19360201</v>
      </c>
      <c r="AG603" s="220">
        <f>SUM(AG604:AG609)</f>
        <v>8297229</v>
      </c>
      <c r="AH603" s="220">
        <f>SUM(AH604:AH609)</f>
        <v>0</v>
      </c>
      <c r="AI603" s="220">
        <f t="shared" ref="AI603:AI610" si="1269">SUM(AG603:AH603)</f>
        <v>8297229</v>
      </c>
      <c r="AJ603" s="220">
        <f>SUM(AJ604:AJ609)</f>
        <v>0</v>
      </c>
      <c r="AK603" s="220">
        <f>SUM(AK604:AK609)</f>
        <v>0</v>
      </c>
      <c r="AL603" s="220"/>
      <c r="AM603" s="220">
        <f t="shared" ref="AM603:AM610" si="1270">SUM(AJ603:AL603)</f>
        <v>0</v>
      </c>
      <c r="AN603" s="220">
        <f>SUM(AN604:AN609)</f>
        <v>11062972</v>
      </c>
      <c r="AO603" s="220">
        <f>SUM(AO604:AO609)</f>
        <v>0</v>
      </c>
      <c r="AP603" s="220">
        <f t="shared" ref="AP603:AP611" si="1271">SUM(AN603:AO603)</f>
        <v>11062972</v>
      </c>
      <c r="AQ603" s="461">
        <f t="shared" ref="AQ603:AQ611" si="1272">SUM(AP603+AM603+AI603)-AF603</f>
        <v>0</v>
      </c>
    </row>
    <row r="604" spans="2:43" s="4" customFormat="1" ht="48" customHeight="1">
      <c r="B604" s="35" t="s">
        <v>1483</v>
      </c>
      <c r="C604" s="375" t="s">
        <v>1490</v>
      </c>
      <c r="D604" s="92"/>
      <c r="E604" s="39" t="s">
        <v>1496</v>
      </c>
      <c r="F604" s="39"/>
      <c r="G604" s="546">
        <v>2024</v>
      </c>
      <c r="H604" s="71">
        <v>2030</v>
      </c>
      <c r="I604" s="115">
        <v>543355</v>
      </c>
      <c r="J604" s="115">
        <v>0</v>
      </c>
      <c r="K604" s="293">
        <f>SUM(I604:J604)</f>
        <v>543355</v>
      </c>
      <c r="L604" s="115">
        <v>543355</v>
      </c>
      <c r="M604" s="115">
        <v>0</v>
      </c>
      <c r="N604" s="293">
        <f>SUM(L604:M604)</f>
        <v>543355</v>
      </c>
      <c r="O604" s="115">
        <v>543355</v>
      </c>
      <c r="P604" s="115">
        <v>0</v>
      </c>
      <c r="Q604" s="293">
        <f>SUM(O604:P604)</f>
        <v>543355</v>
      </c>
      <c r="R604" s="115">
        <v>543355</v>
      </c>
      <c r="S604" s="115">
        <v>0</v>
      </c>
      <c r="T604" s="293">
        <f>SUM(R604:S604)</f>
        <v>543355</v>
      </c>
      <c r="U604" s="115">
        <v>543355</v>
      </c>
      <c r="V604" s="115">
        <v>0</v>
      </c>
      <c r="W604" s="293">
        <f t="shared" si="1265"/>
        <v>543355</v>
      </c>
      <c r="X604" s="115">
        <v>543355</v>
      </c>
      <c r="Y604" s="115">
        <v>0</v>
      </c>
      <c r="Z604" s="293">
        <f t="shared" ref="Z604:Z609" si="1273">SUM(X604:Y604)</f>
        <v>543355</v>
      </c>
      <c r="AA604" s="115">
        <v>543355</v>
      </c>
      <c r="AB604" s="115">
        <v>0</v>
      </c>
      <c r="AC604" s="293">
        <f t="shared" ref="AC604:AC609" si="1274">SUM(AA604:AB604)</f>
        <v>543355</v>
      </c>
      <c r="AD604" s="115">
        <f t="shared" si="1266"/>
        <v>3803485</v>
      </c>
      <c r="AE604" s="115">
        <f t="shared" si="1267"/>
        <v>0</v>
      </c>
      <c r="AF604" s="293">
        <f t="shared" si="1268"/>
        <v>3803485</v>
      </c>
      <c r="AG604" s="115">
        <f>543355*3</f>
        <v>1630065</v>
      </c>
      <c r="AH604" s="115">
        <v>0</v>
      </c>
      <c r="AI604" s="293">
        <f t="shared" si="1269"/>
        <v>1630065</v>
      </c>
      <c r="AJ604" s="115">
        <v>0</v>
      </c>
      <c r="AK604" s="115">
        <v>0</v>
      </c>
      <c r="AL604" s="115"/>
      <c r="AM604" s="293">
        <f t="shared" si="1270"/>
        <v>0</v>
      </c>
      <c r="AN604" s="115">
        <f>543355*4</f>
        <v>2173420</v>
      </c>
      <c r="AO604" s="115">
        <v>0</v>
      </c>
      <c r="AP604" s="293">
        <f t="shared" si="1271"/>
        <v>2173420</v>
      </c>
      <c r="AQ604" s="717">
        <f t="shared" si="1272"/>
        <v>0</v>
      </c>
    </row>
    <row r="605" spans="2:43" s="4" customFormat="1" ht="48" customHeight="1">
      <c r="B605" s="35" t="s">
        <v>1484</v>
      </c>
      <c r="C605" s="353" t="s">
        <v>1491</v>
      </c>
      <c r="D605" s="92"/>
      <c r="E605" s="39" t="s">
        <v>125</v>
      </c>
      <c r="F605" s="39" t="s">
        <v>1497</v>
      </c>
      <c r="G605" s="546">
        <v>2024</v>
      </c>
      <c r="H605" s="71">
        <v>2030</v>
      </c>
      <c r="I605" s="115">
        <v>543355</v>
      </c>
      <c r="J605" s="115">
        <v>0</v>
      </c>
      <c r="K605" s="293">
        <f t="shared" ref="K605:K609" si="1275">SUM(I605:J605)</f>
        <v>543355</v>
      </c>
      <c r="L605" s="115">
        <v>543355</v>
      </c>
      <c r="M605" s="115">
        <v>0</v>
      </c>
      <c r="N605" s="293">
        <f t="shared" ref="N605:N609" si="1276">SUM(L605:M605)</f>
        <v>543355</v>
      </c>
      <c r="O605" s="115">
        <v>543355</v>
      </c>
      <c r="P605" s="115">
        <v>0</v>
      </c>
      <c r="Q605" s="293">
        <f t="shared" ref="Q605:Q609" si="1277">SUM(O605:P605)</f>
        <v>543355</v>
      </c>
      <c r="R605" s="115">
        <v>543355</v>
      </c>
      <c r="S605" s="115">
        <v>0</v>
      </c>
      <c r="T605" s="293">
        <f t="shared" ref="T605:T609" si="1278">SUM(R605:S605)</f>
        <v>543355</v>
      </c>
      <c r="U605" s="115">
        <v>543355</v>
      </c>
      <c r="V605" s="115">
        <v>0</v>
      </c>
      <c r="W605" s="293">
        <f t="shared" si="1265"/>
        <v>543355</v>
      </c>
      <c r="X605" s="115">
        <v>543355</v>
      </c>
      <c r="Y605" s="115">
        <v>0</v>
      </c>
      <c r="Z605" s="293">
        <f t="shared" si="1273"/>
        <v>543355</v>
      </c>
      <c r="AA605" s="115">
        <v>543355</v>
      </c>
      <c r="AB605" s="115">
        <v>0</v>
      </c>
      <c r="AC605" s="293">
        <f t="shared" si="1274"/>
        <v>543355</v>
      </c>
      <c r="AD605" s="115">
        <f t="shared" si="1266"/>
        <v>3803485</v>
      </c>
      <c r="AE605" s="115">
        <f t="shared" si="1267"/>
        <v>0</v>
      </c>
      <c r="AF605" s="293">
        <f t="shared" si="1268"/>
        <v>3803485</v>
      </c>
      <c r="AG605" s="115">
        <f>543355*3</f>
        <v>1630065</v>
      </c>
      <c r="AH605" s="115">
        <v>0</v>
      </c>
      <c r="AI605" s="293">
        <f t="shared" si="1269"/>
        <v>1630065</v>
      </c>
      <c r="AJ605" s="115">
        <v>0</v>
      </c>
      <c r="AK605" s="115">
        <v>0</v>
      </c>
      <c r="AL605" s="115"/>
      <c r="AM605" s="293">
        <f t="shared" si="1270"/>
        <v>0</v>
      </c>
      <c r="AN605" s="115">
        <f>543355*4</f>
        <v>2173420</v>
      </c>
      <c r="AO605" s="115">
        <v>0</v>
      </c>
      <c r="AP605" s="293">
        <f t="shared" si="1271"/>
        <v>2173420</v>
      </c>
      <c r="AQ605" s="717">
        <f t="shared" si="1272"/>
        <v>0</v>
      </c>
    </row>
    <row r="606" spans="2:43" s="4" customFormat="1" ht="48" customHeight="1">
      <c r="B606" s="35" t="s">
        <v>1485</v>
      </c>
      <c r="C606" s="353" t="s">
        <v>1492</v>
      </c>
      <c r="D606" s="92"/>
      <c r="E606" s="39" t="s">
        <v>125</v>
      </c>
      <c r="F606" s="39" t="s">
        <v>541</v>
      </c>
      <c r="G606" s="546">
        <v>2024</v>
      </c>
      <c r="H606" s="71">
        <v>2030</v>
      </c>
      <c r="I606" s="115">
        <v>543355</v>
      </c>
      <c r="J606" s="115">
        <v>0</v>
      </c>
      <c r="K606" s="293">
        <f t="shared" si="1275"/>
        <v>543355</v>
      </c>
      <c r="L606" s="115">
        <v>543355</v>
      </c>
      <c r="M606" s="115">
        <v>0</v>
      </c>
      <c r="N606" s="293">
        <f t="shared" si="1276"/>
        <v>543355</v>
      </c>
      <c r="O606" s="115">
        <v>543355</v>
      </c>
      <c r="P606" s="115">
        <v>0</v>
      </c>
      <c r="Q606" s="293">
        <f t="shared" si="1277"/>
        <v>543355</v>
      </c>
      <c r="R606" s="115">
        <v>543355</v>
      </c>
      <c r="S606" s="115">
        <v>0</v>
      </c>
      <c r="T606" s="293">
        <f t="shared" si="1278"/>
        <v>543355</v>
      </c>
      <c r="U606" s="115">
        <v>543355</v>
      </c>
      <c r="V606" s="115">
        <v>0</v>
      </c>
      <c r="W606" s="293">
        <f t="shared" si="1265"/>
        <v>543355</v>
      </c>
      <c r="X606" s="115">
        <v>543355</v>
      </c>
      <c r="Y606" s="115">
        <v>0</v>
      </c>
      <c r="Z606" s="293">
        <f t="shared" si="1273"/>
        <v>543355</v>
      </c>
      <c r="AA606" s="115">
        <v>543355</v>
      </c>
      <c r="AB606" s="115">
        <v>0</v>
      </c>
      <c r="AC606" s="293">
        <f t="shared" si="1274"/>
        <v>543355</v>
      </c>
      <c r="AD606" s="115">
        <f t="shared" si="1266"/>
        <v>3803485</v>
      </c>
      <c r="AE606" s="115">
        <f t="shared" si="1267"/>
        <v>0</v>
      </c>
      <c r="AF606" s="293">
        <f t="shared" si="1268"/>
        <v>3803485</v>
      </c>
      <c r="AG606" s="115">
        <f>543355*3</f>
        <v>1630065</v>
      </c>
      <c r="AH606" s="115">
        <v>0</v>
      </c>
      <c r="AI606" s="293">
        <f t="shared" si="1269"/>
        <v>1630065</v>
      </c>
      <c r="AJ606" s="115">
        <v>0</v>
      </c>
      <c r="AK606" s="115">
        <v>0</v>
      </c>
      <c r="AL606" s="115"/>
      <c r="AM606" s="293">
        <f t="shared" si="1270"/>
        <v>0</v>
      </c>
      <c r="AN606" s="115">
        <f>543355*4</f>
        <v>2173420</v>
      </c>
      <c r="AO606" s="115">
        <v>0</v>
      </c>
      <c r="AP606" s="293">
        <f t="shared" si="1271"/>
        <v>2173420</v>
      </c>
      <c r="AQ606" s="717">
        <f t="shared" si="1272"/>
        <v>0</v>
      </c>
    </row>
    <row r="607" spans="2:43" s="4" customFormat="1" ht="48" customHeight="1">
      <c r="B607" s="35" t="s">
        <v>1486</v>
      </c>
      <c r="C607" s="353" t="s">
        <v>1493</v>
      </c>
      <c r="D607" s="92"/>
      <c r="E607" s="39" t="s">
        <v>125</v>
      </c>
      <c r="F607" s="39" t="s">
        <v>541</v>
      </c>
      <c r="G607" s="546">
        <v>2024</v>
      </c>
      <c r="H607" s="71">
        <v>2030</v>
      </c>
      <c r="I607" s="115">
        <v>432000</v>
      </c>
      <c r="J607" s="115">
        <v>0</v>
      </c>
      <c r="K607" s="293">
        <f t="shared" si="1275"/>
        <v>432000</v>
      </c>
      <c r="L607" s="115">
        <v>432000</v>
      </c>
      <c r="M607" s="115">
        <v>0</v>
      </c>
      <c r="N607" s="293">
        <f t="shared" si="1276"/>
        <v>432000</v>
      </c>
      <c r="O607" s="115">
        <v>432000</v>
      </c>
      <c r="P607" s="115">
        <v>0</v>
      </c>
      <c r="Q607" s="293">
        <f t="shared" si="1277"/>
        <v>432000</v>
      </c>
      <c r="R607" s="115">
        <v>432000</v>
      </c>
      <c r="S607" s="115">
        <v>0</v>
      </c>
      <c r="T607" s="293">
        <f t="shared" si="1278"/>
        <v>432000</v>
      </c>
      <c r="U607" s="115">
        <v>432000</v>
      </c>
      <c r="V607" s="115">
        <v>0</v>
      </c>
      <c r="W607" s="293">
        <f t="shared" si="1265"/>
        <v>432000</v>
      </c>
      <c r="X607" s="115">
        <v>432000</v>
      </c>
      <c r="Y607" s="115">
        <v>0</v>
      </c>
      <c r="Z607" s="293">
        <f t="shared" si="1273"/>
        <v>432000</v>
      </c>
      <c r="AA607" s="115">
        <v>432000</v>
      </c>
      <c r="AB607" s="115">
        <v>0</v>
      </c>
      <c r="AC607" s="293">
        <f t="shared" si="1274"/>
        <v>432000</v>
      </c>
      <c r="AD607" s="115">
        <f t="shared" si="1266"/>
        <v>3024000</v>
      </c>
      <c r="AE607" s="115">
        <f t="shared" si="1267"/>
        <v>0</v>
      </c>
      <c r="AF607" s="293">
        <f t="shared" si="1268"/>
        <v>3024000</v>
      </c>
      <c r="AG607" s="115">
        <f>432000*3</f>
        <v>1296000</v>
      </c>
      <c r="AH607" s="115">
        <v>0</v>
      </c>
      <c r="AI607" s="293">
        <f t="shared" si="1269"/>
        <v>1296000</v>
      </c>
      <c r="AJ607" s="115">
        <v>0</v>
      </c>
      <c r="AK607" s="115">
        <v>0</v>
      </c>
      <c r="AL607" s="115"/>
      <c r="AM607" s="293">
        <f t="shared" si="1270"/>
        <v>0</v>
      </c>
      <c r="AN607" s="115">
        <f>432000*4</f>
        <v>1728000</v>
      </c>
      <c r="AO607" s="115">
        <v>0</v>
      </c>
      <c r="AP607" s="293">
        <f t="shared" si="1271"/>
        <v>1728000</v>
      </c>
      <c r="AQ607" s="717">
        <f t="shared" si="1272"/>
        <v>0</v>
      </c>
    </row>
    <row r="608" spans="2:43" s="4" customFormat="1" ht="48" customHeight="1">
      <c r="B608" s="35" t="s">
        <v>1487</v>
      </c>
      <c r="C608" s="353" t="s">
        <v>1494</v>
      </c>
      <c r="D608" s="92"/>
      <c r="E608" s="39" t="s">
        <v>125</v>
      </c>
      <c r="F608" s="39"/>
      <c r="G608" s="546">
        <v>2024</v>
      </c>
      <c r="H608" s="71">
        <v>2030</v>
      </c>
      <c r="I608" s="115">
        <v>432000</v>
      </c>
      <c r="J608" s="115">
        <v>0</v>
      </c>
      <c r="K608" s="293">
        <f t="shared" si="1275"/>
        <v>432000</v>
      </c>
      <c r="L608" s="115">
        <v>432000</v>
      </c>
      <c r="M608" s="115">
        <v>0</v>
      </c>
      <c r="N608" s="293">
        <f t="shared" si="1276"/>
        <v>432000</v>
      </c>
      <c r="O608" s="115">
        <v>432000</v>
      </c>
      <c r="P608" s="115">
        <v>0</v>
      </c>
      <c r="Q608" s="293">
        <f t="shared" si="1277"/>
        <v>432000</v>
      </c>
      <c r="R608" s="115">
        <v>432000</v>
      </c>
      <c r="S608" s="115">
        <v>0</v>
      </c>
      <c r="T608" s="293">
        <f t="shared" si="1278"/>
        <v>432000</v>
      </c>
      <c r="U608" s="115">
        <v>432000</v>
      </c>
      <c r="V608" s="115">
        <v>0</v>
      </c>
      <c r="W608" s="293">
        <f t="shared" si="1265"/>
        <v>432000</v>
      </c>
      <c r="X608" s="115">
        <v>432000</v>
      </c>
      <c r="Y608" s="115">
        <v>0</v>
      </c>
      <c r="Z608" s="293">
        <f t="shared" si="1273"/>
        <v>432000</v>
      </c>
      <c r="AA608" s="115">
        <v>432000</v>
      </c>
      <c r="AB608" s="115">
        <v>0</v>
      </c>
      <c r="AC608" s="293">
        <f t="shared" si="1274"/>
        <v>432000</v>
      </c>
      <c r="AD608" s="115">
        <f t="shared" si="1266"/>
        <v>3024000</v>
      </c>
      <c r="AE608" s="115">
        <f t="shared" si="1267"/>
        <v>0</v>
      </c>
      <c r="AF608" s="293">
        <f t="shared" si="1268"/>
        <v>3024000</v>
      </c>
      <c r="AG608" s="115">
        <f>432000*3</f>
        <v>1296000</v>
      </c>
      <c r="AH608" s="115">
        <v>0</v>
      </c>
      <c r="AI608" s="293">
        <f t="shared" si="1269"/>
        <v>1296000</v>
      </c>
      <c r="AJ608" s="115">
        <v>0</v>
      </c>
      <c r="AK608" s="115">
        <v>0</v>
      </c>
      <c r="AL608" s="115"/>
      <c r="AM608" s="293">
        <f t="shared" si="1270"/>
        <v>0</v>
      </c>
      <c r="AN608" s="115">
        <f>432000*4</f>
        <v>1728000</v>
      </c>
      <c r="AO608" s="115">
        <v>0</v>
      </c>
      <c r="AP608" s="293">
        <f t="shared" si="1271"/>
        <v>1728000</v>
      </c>
      <c r="AQ608" s="717">
        <f t="shared" si="1272"/>
        <v>0</v>
      </c>
    </row>
    <row r="609" spans="2:44" s="4" customFormat="1" ht="48" customHeight="1">
      <c r="B609" s="35" t="s">
        <v>1488</v>
      </c>
      <c r="C609" s="353" t="s">
        <v>1495</v>
      </c>
      <c r="D609" s="92"/>
      <c r="E609" s="39" t="s">
        <v>125</v>
      </c>
      <c r="F609" s="39"/>
      <c r="G609" s="546">
        <v>2024</v>
      </c>
      <c r="H609" s="71">
        <v>2030</v>
      </c>
      <c r="I609" s="115">
        <v>271678</v>
      </c>
      <c r="J609" s="115">
        <v>0</v>
      </c>
      <c r="K609" s="293">
        <f t="shared" si="1275"/>
        <v>271678</v>
      </c>
      <c r="L609" s="115">
        <v>271678</v>
      </c>
      <c r="M609" s="115">
        <v>0</v>
      </c>
      <c r="N609" s="293">
        <f t="shared" si="1276"/>
        <v>271678</v>
      </c>
      <c r="O609" s="115">
        <v>271678</v>
      </c>
      <c r="P609" s="115">
        <v>0</v>
      </c>
      <c r="Q609" s="293">
        <f t="shared" si="1277"/>
        <v>271678</v>
      </c>
      <c r="R609" s="115">
        <v>271678</v>
      </c>
      <c r="S609" s="115">
        <v>0</v>
      </c>
      <c r="T609" s="293">
        <f t="shared" si="1278"/>
        <v>271678</v>
      </c>
      <c r="U609" s="115">
        <v>271678</v>
      </c>
      <c r="V609" s="115">
        <v>0</v>
      </c>
      <c r="W609" s="293">
        <f t="shared" si="1265"/>
        <v>271678</v>
      </c>
      <c r="X609" s="115">
        <v>271678</v>
      </c>
      <c r="Y609" s="115">
        <v>0</v>
      </c>
      <c r="Z609" s="293">
        <f t="shared" si="1273"/>
        <v>271678</v>
      </c>
      <c r="AA609" s="115">
        <v>271678</v>
      </c>
      <c r="AB609" s="115">
        <v>0</v>
      </c>
      <c r="AC609" s="293">
        <f t="shared" si="1274"/>
        <v>271678</v>
      </c>
      <c r="AD609" s="115">
        <f t="shared" si="1266"/>
        <v>1901746</v>
      </c>
      <c r="AE609" s="115">
        <f t="shared" si="1267"/>
        <v>0</v>
      </c>
      <c r="AF609" s="293">
        <f t="shared" si="1268"/>
        <v>1901746</v>
      </c>
      <c r="AG609" s="115">
        <f>271678*3</f>
        <v>815034</v>
      </c>
      <c r="AH609" s="115">
        <v>0</v>
      </c>
      <c r="AI609" s="293">
        <f t="shared" si="1269"/>
        <v>815034</v>
      </c>
      <c r="AJ609" s="115">
        <v>0</v>
      </c>
      <c r="AK609" s="115">
        <v>0</v>
      </c>
      <c r="AL609" s="115"/>
      <c r="AM609" s="293">
        <f t="shared" si="1270"/>
        <v>0</v>
      </c>
      <c r="AN609" s="115">
        <f>271678*4</f>
        <v>1086712</v>
      </c>
      <c r="AO609" s="115">
        <v>0</v>
      </c>
      <c r="AP609" s="293">
        <f t="shared" si="1271"/>
        <v>1086712</v>
      </c>
      <c r="AQ609" s="717">
        <f t="shared" si="1272"/>
        <v>0</v>
      </c>
    </row>
    <row r="610" spans="2:44" s="4" customFormat="1" ht="48" customHeight="1">
      <c r="B610" s="438" t="s">
        <v>1498</v>
      </c>
      <c r="C610" s="287" t="s">
        <v>1510</v>
      </c>
      <c r="D610" s="217"/>
      <c r="E610" s="186" t="s">
        <v>125</v>
      </c>
      <c r="F610" s="186"/>
      <c r="G610" s="186">
        <v>2026</v>
      </c>
      <c r="H610" s="186">
        <v>2026</v>
      </c>
      <c r="I610" s="220">
        <f>SUM(I611:I611)</f>
        <v>0</v>
      </c>
      <c r="J610" s="220">
        <f>SUM(J611:J611)</f>
        <v>0</v>
      </c>
      <c r="K610" s="220">
        <f t="shared" ref="K610" si="1279">SUM(I610:J610)</f>
        <v>0</v>
      </c>
      <c r="L610" s="220">
        <f>SUM(L611:L611)</f>
        <v>600000</v>
      </c>
      <c r="M610" s="220">
        <f>SUM(M611:M611)</f>
        <v>0</v>
      </c>
      <c r="N610" s="220">
        <f t="shared" ref="N610" si="1280">SUM(L610:M610)</f>
        <v>600000</v>
      </c>
      <c r="O610" s="220">
        <f>SUM(O611:O611)</f>
        <v>0</v>
      </c>
      <c r="P610" s="220">
        <f>SUM(P611:P611)</f>
        <v>0</v>
      </c>
      <c r="Q610" s="220">
        <f t="shared" ref="Q610" si="1281">SUM(O610:P610)</f>
        <v>0</v>
      </c>
      <c r="R610" s="220">
        <f>SUM(R611:R611)</f>
        <v>0</v>
      </c>
      <c r="S610" s="220">
        <f>SUM(S611:S611)</f>
        <v>0</v>
      </c>
      <c r="T610" s="220">
        <f t="shared" ref="T610" si="1282">SUM(R610:S610)</f>
        <v>0</v>
      </c>
      <c r="U610" s="220">
        <f>SUM(U611:U611)</f>
        <v>0</v>
      </c>
      <c r="V610" s="220">
        <f>SUM(V611:V611)</f>
        <v>0</v>
      </c>
      <c r="W610" s="220">
        <f t="shared" si="1265"/>
        <v>0</v>
      </c>
      <c r="X610" s="220">
        <f>SUM(X611:X611)</f>
        <v>0</v>
      </c>
      <c r="Y610" s="220">
        <f>SUM(Y611:Y611)</f>
        <v>0</v>
      </c>
      <c r="Z610" s="220">
        <f t="shared" ref="Z610:Z615" si="1283">SUM(X610:Y610)</f>
        <v>0</v>
      </c>
      <c r="AA610" s="220">
        <f>SUM(AA611:AA611)</f>
        <v>0</v>
      </c>
      <c r="AB610" s="220">
        <f>SUM(AB611:AB611)</f>
        <v>0</v>
      </c>
      <c r="AC610" s="220">
        <f t="shared" ref="AC610:AC615" si="1284">SUM(AA610:AB610)</f>
        <v>0</v>
      </c>
      <c r="AD610" s="220">
        <f t="shared" si="1266"/>
        <v>600000</v>
      </c>
      <c r="AE610" s="220">
        <f t="shared" si="1267"/>
        <v>0</v>
      </c>
      <c r="AF610" s="220">
        <f t="shared" si="1268"/>
        <v>600000</v>
      </c>
      <c r="AG610" s="220">
        <f>SUM(AG611:AG611)</f>
        <v>600000</v>
      </c>
      <c r="AH610" s="220">
        <f>SUM(AH611:AH611)</f>
        <v>0</v>
      </c>
      <c r="AI610" s="220">
        <f t="shared" si="1269"/>
        <v>600000</v>
      </c>
      <c r="AJ610" s="220">
        <f>SUM(AJ611:AJ611)</f>
        <v>0</v>
      </c>
      <c r="AK610" s="220">
        <f>SUM(AK611:AK611)</f>
        <v>0</v>
      </c>
      <c r="AL610" s="220"/>
      <c r="AM610" s="220">
        <f t="shared" si="1270"/>
        <v>0</v>
      </c>
      <c r="AN610" s="220">
        <f>SUM(AN611:AN611)</f>
        <v>0</v>
      </c>
      <c r="AO610" s="220">
        <f>SUM(AO611:AO611)</f>
        <v>0</v>
      </c>
      <c r="AP610" s="220">
        <f t="shared" si="1271"/>
        <v>0</v>
      </c>
      <c r="AQ610" s="461">
        <f t="shared" si="1272"/>
        <v>0</v>
      </c>
    </row>
    <row r="611" spans="2:44" s="4" customFormat="1" ht="48" customHeight="1">
      <c r="B611" s="694" t="s">
        <v>1499</v>
      </c>
      <c r="C611" s="572" t="s">
        <v>1511</v>
      </c>
      <c r="D611" s="92"/>
      <c r="E611" s="1" t="s">
        <v>125</v>
      </c>
      <c r="F611" s="1"/>
      <c r="G611" s="71">
        <v>2026</v>
      </c>
      <c r="H611" s="71">
        <v>2026</v>
      </c>
      <c r="I611" s="115">
        <v>0</v>
      </c>
      <c r="J611" s="115">
        <v>0</v>
      </c>
      <c r="K611" s="293">
        <f>SUM(I611:J611)</f>
        <v>0</v>
      </c>
      <c r="L611" s="115">
        <v>600000</v>
      </c>
      <c r="M611" s="115">
        <v>0</v>
      </c>
      <c r="N611" s="293">
        <f>SUM(L611:M611)</f>
        <v>600000</v>
      </c>
      <c r="O611" s="115">
        <v>0</v>
      </c>
      <c r="P611" s="115">
        <v>0</v>
      </c>
      <c r="Q611" s="293">
        <f>SUM(O611:P611)</f>
        <v>0</v>
      </c>
      <c r="R611" s="115">
        <v>0</v>
      </c>
      <c r="S611" s="115">
        <v>0</v>
      </c>
      <c r="T611" s="293">
        <f>SUM(R611:S611)</f>
        <v>0</v>
      </c>
      <c r="U611" s="115">
        <v>0</v>
      </c>
      <c r="V611" s="115">
        <v>0</v>
      </c>
      <c r="W611" s="293">
        <f t="shared" si="1265"/>
        <v>0</v>
      </c>
      <c r="X611" s="115">
        <v>0</v>
      </c>
      <c r="Y611" s="115">
        <v>0</v>
      </c>
      <c r="Z611" s="293">
        <f t="shared" si="1283"/>
        <v>0</v>
      </c>
      <c r="AA611" s="115">
        <v>0</v>
      </c>
      <c r="AB611" s="115">
        <v>0</v>
      </c>
      <c r="AC611" s="293">
        <f t="shared" si="1284"/>
        <v>0</v>
      </c>
      <c r="AD611" s="115">
        <f t="shared" si="1266"/>
        <v>600000</v>
      </c>
      <c r="AE611" s="115">
        <f t="shared" si="1267"/>
        <v>0</v>
      </c>
      <c r="AF611" s="293">
        <f>AD611+AE611</f>
        <v>600000</v>
      </c>
      <c r="AG611" s="115">
        <f>600000*1</f>
        <v>600000</v>
      </c>
      <c r="AH611" s="115">
        <v>0</v>
      </c>
      <c r="AI611" s="293">
        <f>SUM(AG611:AH611)</f>
        <v>600000</v>
      </c>
      <c r="AJ611" s="115">
        <v>0</v>
      </c>
      <c r="AK611" s="115">
        <v>0</v>
      </c>
      <c r="AL611" s="115"/>
      <c r="AM611" s="293">
        <f t="shared" ref="AM611" si="1285">AJ611+AK611</f>
        <v>0</v>
      </c>
      <c r="AN611" s="115">
        <v>0</v>
      </c>
      <c r="AO611" s="115">
        <v>0</v>
      </c>
      <c r="AP611" s="293">
        <f t="shared" si="1271"/>
        <v>0</v>
      </c>
      <c r="AQ611" s="717">
        <f t="shared" si="1272"/>
        <v>0</v>
      </c>
    </row>
    <row r="612" spans="2:44" s="4" customFormat="1" ht="48" customHeight="1" thickBot="1">
      <c r="B612" s="210" t="s">
        <v>1500</v>
      </c>
      <c r="C612" s="287" t="s">
        <v>1512</v>
      </c>
      <c r="D612" s="217"/>
      <c r="E612" s="186" t="s">
        <v>125</v>
      </c>
      <c r="F612" s="210"/>
      <c r="G612" s="718">
        <v>2025</v>
      </c>
      <c r="H612" s="718">
        <v>2025</v>
      </c>
      <c r="I612" s="719">
        <f>SUM(I613:I614)</f>
        <v>0</v>
      </c>
      <c r="J612" s="719">
        <f>SUM(J613:J614)</f>
        <v>0</v>
      </c>
      <c r="K612" s="719">
        <f>SUM(I612:J612)</f>
        <v>0</v>
      </c>
      <c r="L612" s="719">
        <f>SUM(L613:L614)</f>
        <v>543355</v>
      </c>
      <c r="M612" s="719">
        <f>SUM(M613:M614)</f>
        <v>0</v>
      </c>
      <c r="N612" s="719">
        <f>SUM(L612:M612)</f>
        <v>543355</v>
      </c>
      <c r="O612" s="719">
        <f>SUM(O613:O614)</f>
        <v>0</v>
      </c>
      <c r="P612" s="719">
        <f>SUM(P613:P614)</f>
        <v>0</v>
      </c>
      <c r="Q612" s="719">
        <f>SUM(O612:P612)</f>
        <v>0</v>
      </c>
      <c r="R612" s="719">
        <f>SUM(R613:R614)</f>
        <v>0</v>
      </c>
      <c r="S612" s="719">
        <f>SUM(S613:S614)</f>
        <v>0</v>
      </c>
      <c r="T612" s="220">
        <f>SUM(R612:S612)</f>
        <v>0</v>
      </c>
      <c r="U612" s="220">
        <f>SUM(U613:U614)</f>
        <v>0</v>
      </c>
      <c r="V612" s="220">
        <f>SUM(V613:V614)</f>
        <v>0</v>
      </c>
      <c r="W612" s="220">
        <f>SUM(U612:V612)</f>
        <v>0</v>
      </c>
      <c r="X612" s="220">
        <f>SUM(X613:X614)</f>
        <v>0</v>
      </c>
      <c r="Y612" s="220">
        <f>SUM(Y613:Y614)</f>
        <v>0</v>
      </c>
      <c r="Z612" s="220">
        <f t="shared" si="1283"/>
        <v>0</v>
      </c>
      <c r="AA612" s="220">
        <f>SUM(AA613:AA614)</f>
        <v>0</v>
      </c>
      <c r="AB612" s="220">
        <f>SUM(AB613:AB614)</f>
        <v>0</v>
      </c>
      <c r="AC612" s="220">
        <f t="shared" si="1284"/>
        <v>0</v>
      </c>
      <c r="AD612" s="731">
        <f t="shared" ref="AD612:AE614" si="1286">I612+L612+O612+R612+U612+X612+AA612</f>
        <v>543355</v>
      </c>
      <c r="AE612" s="731">
        <f t="shared" si="1286"/>
        <v>0</v>
      </c>
      <c r="AF612" s="731">
        <f>SUM(AD612:AE612)</f>
        <v>543355</v>
      </c>
      <c r="AG612" s="731">
        <f>SUM(AG613:AG614)</f>
        <v>543355</v>
      </c>
      <c r="AH612" s="731">
        <f>SUM(AH613:AH614)</f>
        <v>0</v>
      </c>
      <c r="AI612" s="220">
        <f>SUM(AG612:AH612)</f>
        <v>543355</v>
      </c>
      <c r="AJ612" s="220">
        <f>SUM(AJ613:AJ614)</f>
        <v>0</v>
      </c>
      <c r="AK612" s="220">
        <f>SUM(AK613:AK614)</f>
        <v>0</v>
      </c>
      <c r="AL612" s="220"/>
      <c r="AM612" s="220">
        <f>SUM(AJ612:AL612)</f>
        <v>0</v>
      </c>
      <c r="AN612" s="220">
        <f>SUM(AN613:AN614)</f>
        <v>0</v>
      </c>
      <c r="AO612" s="220">
        <f>SUM(AO613:AO614)</f>
        <v>0</v>
      </c>
      <c r="AP612" s="220">
        <f>SUM(AN612:AO612)</f>
        <v>0</v>
      </c>
      <c r="AQ612" s="461">
        <f>SUM(AP612+AM612+AI612)-AF612</f>
        <v>0</v>
      </c>
    </row>
    <row r="613" spans="2:44" s="4" customFormat="1" ht="48" customHeight="1">
      <c r="B613" s="35" t="s">
        <v>1501</v>
      </c>
      <c r="C613" s="732" t="s">
        <v>1513</v>
      </c>
      <c r="D613" s="92"/>
      <c r="E613" s="1" t="s">
        <v>125</v>
      </c>
      <c r="F613" s="35"/>
      <c r="G613" s="71">
        <v>2025</v>
      </c>
      <c r="H613" s="71">
        <v>2025</v>
      </c>
      <c r="I613" s="115">
        <v>0</v>
      </c>
      <c r="J613" s="115">
        <v>0</v>
      </c>
      <c r="K613" s="293">
        <f>SUM(I613:J613)</f>
        <v>0</v>
      </c>
      <c r="L613" s="115">
        <v>543355</v>
      </c>
      <c r="M613" s="115">
        <v>0</v>
      </c>
      <c r="N613" s="293">
        <f>SUM(L613:M613)</f>
        <v>543355</v>
      </c>
      <c r="O613" s="115">
        <v>0</v>
      </c>
      <c r="P613" s="115">
        <v>0</v>
      </c>
      <c r="Q613" s="293">
        <f>SUM(O613:P613)</f>
        <v>0</v>
      </c>
      <c r="R613" s="115">
        <v>0</v>
      </c>
      <c r="S613" s="115">
        <v>0</v>
      </c>
      <c r="T613" s="293">
        <f>SUM(R613:S613)</f>
        <v>0</v>
      </c>
      <c r="U613" s="115">
        <v>0</v>
      </c>
      <c r="V613" s="115">
        <v>0</v>
      </c>
      <c r="W613" s="293">
        <f>SUM(U613:V613)</f>
        <v>0</v>
      </c>
      <c r="X613" s="115">
        <v>0</v>
      </c>
      <c r="Y613" s="115">
        <v>0</v>
      </c>
      <c r="Z613" s="293">
        <f t="shared" si="1283"/>
        <v>0</v>
      </c>
      <c r="AA613" s="115">
        <v>0</v>
      </c>
      <c r="AB613" s="115">
        <v>0</v>
      </c>
      <c r="AC613" s="293">
        <f t="shared" si="1284"/>
        <v>0</v>
      </c>
      <c r="AD613" s="115">
        <f t="shared" si="1286"/>
        <v>543355</v>
      </c>
      <c r="AE613" s="115">
        <f t="shared" si="1286"/>
        <v>0</v>
      </c>
      <c r="AF613" s="293">
        <f>AD613+AE613</f>
        <v>543355</v>
      </c>
      <c r="AG613" s="115">
        <f>543355*1</f>
        <v>543355</v>
      </c>
      <c r="AH613" s="115">
        <v>0</v>
      </c>
      <c r="AI613" s="293">
        <f>SUM(AG613:AH613)</f>
        <v>543355</v>
      </c>
      <c r="AJ613" s="115">
        <v>0</v>
      </c>
      <c r="AK613" s="115">
        <v>0</v>
      </c>
      <c r="AL613" s="115"/>
      <c r="AM613" s="293">
        <f>AJ613+AK613</f>
        <v>0</v>
      </c>
      <c r="AN613" s="115">
        <v>0</v>
      </c>
      <c r="AO613" s="115">
        <v>0</v>
      </c>
      <c r="AP613" s="293">
        <f>SUM(AN613:AO613)</f>
        <v>0</v>
      </c>
      <c r="AQ613" s="717">
        <f>SUM(AP613+AM613+AI613)-AF613</f>
        <v>0</v>
      </c>
    </row>
    <row r="614" spans="2:44" s="4" customFormat="1" ht="48" customHeight="1" thickBot="1">
      <c r="B614" s="35" t="s">
        <v>1502</v>
      </c>
      <c r="C614" s="733" t="s">
        <v>1514</v>
      </c>
      <c r="D614" s="92"/>
      <c r="E614" s="1" t="s">
        <v>125</v>
      </c>
      <c r="F614" s="35"/>
      <c r="G614" s="71">
        <v>2025</v>
      </c>
      <c r="H614" s="71">
        <v>2025</v>
      </c>
      <c r="I614" s="115">
        <v>0</v>
      </c>
      <c r="J614" s="115">
        <v>0</v>
      </c>
      <c r="K614" s="293">
        <f>SUM(I614:J614)</f>
        <v>0</v>
      </c>
      <c r="L614" s="115">
        <v>0</v>
      </c>
      <c r="M614" s="115">
        <v>0</v>
      </c>
      <c r="N614" s="293">
        <f>SUM(L614:M614)</f>
        <v>0</v>
      </c>
      <c r="O614" s="115">
        <v>0</v>
      </c>
      <c r="P614" s="115">
        <v>0</v>
      </c>
      <c r="Q614" s="293">
        <f>SUM(O614:P614)</f>
        <v>0</v>
      </c>
      <c r="R614" s="115">
        <v>0</v>
      </c>
      <c r="S614" s="115">
        <v>0</v>
      </c>
      <c r="T614" s="293">
        <f>SUM(R614:S614)</f>
        <v>0</v>
      </c>
      <c r="U614" s="115">
        <v>0</v>
      </c>
      <c r="V614" s="115">
        <v>0</v>
      </c>
      <c r="W614" s="293">
        <f>SUM(U614:V614)</f>
        <v>0</v>
      </c>
      <c r="X614" s="115">
        <v>0</v>
      </c>
      <c r="Y614" s="115">
        <v>0</v>
      </c>
      <c r="Z614" s="293">
        <f t="shared" si="1283"/>
        <v>0</v>
      </c>
      <c r="AA614" s="115">
        <v>0</v>
      </c>
      <c r="AB614" s="115">
        <v>0</v>
      </c>
      <c r="AC614" s="293">
        <f t="shared" si="1284"/>
        <v>0</v>
      </c>
      <c r="AD614" s="115">
        <f t="shared" si="1286"/>
        <v>0</v>
      </c>
      <c r="AE614" s="115">
        <f t="shared" si="1286"/>
        <v>0</v>
      </c>
      <c r="AF614" s="293">
        <f>AD614+AE614</f>
        <v>0</v>
      </c>
      <c r="AG614" s="115">
        <v>0</v>
      </c>
      <c r="AH614" s="115">
        <v>0</v>
      </c>
      <c r="AI614" s="293">
        <f>SUM(AG614:AH614)</f>
        <v>0</v>
      </c>
      <c r="AJ614" s="115">
        <v>0</v>
      </c>
      <c r="AK614" s="115">
        <v>0</v>
      </c>
      <c r="AL614" s="115"/>
      <c r="AM614" s="293">
        <f>AJ614+AK614</f>
        <v>0</v>
      </c>
      <c r="AN614" s="115">
        <v>0</v>
      </c>
      <c r="AO614" s="115">
        <v>0</v>
      </c>
      <c r="AP614" s="293">
        <f>SUM(AN614:AO614)</f>
        <v>0</v>
      </c>
      <c r="AQ614" s="717">
        <f>SUM(AP614+AM614+AI614)-AF614</f>
        <v>0</v>
      </c>
    </row>
    <row r="615" spans="2:44" s="4" customFormat="1" ht="48" customHeight="1">
      <c r="B615" s="210" t="s">
        <v>1503</v>
      </c>
      <c r="C615" s="287" t="s">
        <v>1515</v>
      </c>
      <c r="D615" s="217"/>
      <c r="E615" s="186" t="s">
        <v>125</v>
      </c>
      <c r="F615" s="210"/>
      <c r="G615" s="350">
        <v>2024</v>
      </c>
      <c r="H615" s="350">
        <v>2030</v>
      </c>
      <c r="I615" s="220">
        <f>SUM(I616:I619)</f>
        <v>1711678</v>
      </c>
      <c r="J615" s="220">
        <f>SUM(J616:J619)</f>
        <v>0</v>
      </c>
      <c r="K615" s="220">
        <f>SUM(I615:J615)</f>
        <v>1711678</v>
      </c>
      <c r="L615" s="220">
        <f>SUM(L616:L619)</f>
        <v>1711678</v>
      </c>
      <c r="M615" s="220">
        <f>SUM(M616:M619)</f>
        <v>0</v>
      </c>
      <c r="N615" s="220">
        <f>SUM(L615:M615)</f>
        <v>1711678</v>
      </c>
      <c r="O615" s="220">
        <f>SUM(O616:O619)</f>
        <v>1711678</v>
      </c>
      <c r="P615" s="220">
        <f>SUM(P616:P619)</f>
        <v>0</v>
      </c>
      <c r="Q615" s="220">
        <f>SUM(O615:P615)</f>
        <v>1711678</v>
      </c>
      <c r="R615" s="220">
        <f>SUM(R616:R619)</f>
        <v>1711678</v>
      </c>
      <c r="S615" s="220">
        <f>SUM(S616:S619)</f>
        <v>0</v>
      </c>
      <c r="T615" s="731">
        <f>SUM(R615:S615)</f>
        <v>1711678</v>
      </c>
      <c r="U615" s="731">
        <f>SUM(U616:U619)</f>
        <v>1711678</v>
      </c>
      <c r="V615" s="731">
        <f>SUM(V616:V619)</f>
        <v>0</v>
      </c>
      <c r="W615" s="731">
        <f>SUM(U615:V615)</f>
        <v>1711678</v>
      </c>
      <c r="X615" s="731">
        <f>SUM(X616:X619)</f>
        <v>1711678</v>
      </c>
      <c r="Y615" s="731">
        <f>SUM(Y616:Y619)</f>
        <v>0</v>
      </c>
      <c r="Z615" s="731">
        <f t="shared" si="1283"/>
        <v>1711678</v>
      </c>
      <c r="AA615" s="731">
        <f>SUM(AA616:AA619)</f>
        <v>1711678</v>
      </c>
      <c r="AB615" s="731">
        <f>SUM(AB616:AB619)</f>
        <v>0</v>
      </c>
      <c r="AC615" s="731">
        <f t="shared" si="1284"/>
        <v>1711678</v>
      </c>
      <c r="AD615" s="220">
        <f t="shared" ref="AD615:AD619" si="1287">I615+L615+O615+R615+U615+X615+AA615</f>
        <v>11981746</v>
      </c>
      <c r="AE615" s="220">
        <f t="shared" ref="AE615:AE619" si="1288">J615+M615+P615+S615+V615+Y615+AB615</f>
        <v>0</v>
      </c>
      <c r="AF615" s="220">
        <f>SUM(AD615:AE615)</f>
        <v>11981746</v>
      </c>
      <c r="AG615" s="220">
        <f>SUM(AG616:AG619)</f>
        <v>5135034</v>
      </c>
      <c r="AH615" s="220">
        <f>SUM(AH616:AH619)</f>
        <v>0</v>
      </c>
      <c r="AI615" s="220">
        <f>SUM(AG615:AH615)</f>
        <v>5135034</v>
      </c>
      <c r="AJ615" s="220">
        <f>SUM(AJ616:AJ619)</f>
        <v>0</v>
      </c>
      <c r="AK615" s="220">
        <f>SUM(AK616:AK619)</f>
        <v>0</v>
      </c>
      <c r="AL615" s="220"/>
      <c r="AM615" s="220">
        <f>AJ615+AK615</f>
        <v>0</v>
      </c>
      <c r="AN615" s="220">
        <f>SUM(AN616:AN619)</f>
        <v>6846712</v>
      </c>
      <c r="AO615" s="220">
        <f>SUM(AO616:AO619)</f>
        <v>0</v>
      </c>
      <c r="AP615" s="220">
        <f>SUM(AN615:AO615)</f>
        <v>6846712</v>
      </c>
      <c r="AQ615" s="461">
        <f t="shared" ref="AQ615:AQ619" si="1289">SUM(AP615+AM615+AI615)-AF615</f>
        <v>0</v>
      </c>
    </row>
    <row r="616" spans="2:44" s="4" customFormat="1" ht="48" customHeight="1">
      <c r="B616" s="35" t="s">
        <v>1504</v>
      </c>
      <c r="C616" s="734" t="s">
        <v>1516</v>
      </c>
      <c r="D616" s="92"/>
      <c r="E616" s="325" t="s">
        <v>125</v>
      </c>
      <c r="F616" s="35"/>
      <c r="G616" s="71">
        <v>2024</v>
      </c>
      <c r="H616" s="71">
        <v>2030</v>
      </c>
      <c r="I616" s="115">
        <v>240000</v>
      </c>
      <c r="J616" s="115">
        <v>0</v>
      </c>
      <c r="K616" s="293">
        <f t="shared" ref="K616:K619" si="1290">SUM(I616:J616)</f>
        <v>240000</v>
      </c>
      <c r="L616" s="115">
        <v>240000</v>
      </c>
      <c r="M616" s="115">
        <v>0</v>
      </c>
      <c r="N616" s="293">
        <f t="shared" ref="N616:N619" si="1291">SUM(L616:M616)</f>
        <v>240000</v>
      </c>
      <c r="O616" s="115">
        <v>240000</v>
      </c>
      <c r="P616" s="115">
        <v>0</v>
      </c>
      <c r="Q616" s="293">
        <f t="shared" ref="Q616:Q619" si="1292">SUM(O616:P616)</f>
        <v>240000</v>
      </c>
      <c r="R616" s="115">
        <v>240000</v>
      </c>
      <c r="S616" s="115">
        <v>0</v>
      </c>
      <c r="T616" s="293">
        <f t="shared" ref="T616:T619" si="1293">SUM(R616:S616)</f>
        <v>240000</v>
      </c>
      <c r="U616" s="115">
        <v>240000</v>
      </c>
      <c r="V616" s="115">
        <v>0</v>
      </c>
      <c r="W616" s="293">
        <f t="shared" ref="W616:W619" si="1294">SUM(U616:V616)</f>
        <v>240000</v>
      </c>
      <c r="X616" s="115">
        <v>240000</v>
      </c>
      <c r="Y616" s="115">
        <v>0</v>
      </c>
      <c r="Z616" s="293">
        <f t="shared" ref="Z616:Z619" si="1295">SUM(X616:Y616)</f>
        <v>240000</v>
      </c>
      <c r="AA616" s="115">
        <v>240000</v>
      </c>
      <c r="AB616" s="115">
        <v>0</v>
      </c>
      <c r="AC616" s="293">
        <f t="shared" ref="AC616:AC619" si="1296">SUM(AA616:AB616)</f>
        <v>240000</v>
      </c>
      <c r="AD616" s="115">
        <f t="shared" si="1287"/>
        <v>1680000</v>
      </c>
      <c r="AE616" s="115">
        <f t="shared" si="1288"/>
        <v>0</v>
      </c>
      <c r="AF616" s="293">
        <f t="shared" ref="AF616:AF619" si="1297">SUM(AD616:AE616)</f>
        <v>1680000</v>
      </c>
      <c r="AG616" s="115">
        <f>240000*3</f>
        <v>720000</v>
      </c>
      <c r="AH616" s="115">
        <v>0</v>
      </c>
      <c r="AI616" s="293">
        <f t="shared" ref="AI616:AI619" si="1298">SUM(AG616:AH616)</f>
        <v>720000</v>
      </c>
      <c r="AJ616" s="115">
        <v>0</v>
      </c>
      <c r="AK616" s="115">
        <v>0</v>
      </c>
      <c r="AL616" s="115"/>
      <c r="AM616" s="293">
        <f t="shared" ref="AM616:AM619" si="1299">AJ616+AK616</f>
        <v>0</v>
      </c>
      <c r="AN616" s="115">
        <f>240000*4</f>
        <v>960000</v>
      </c>
      <c r="AO616" s="115">
        <v>0</v>
      </c>
      <c r="AP616" s="293">
        <f t="shared" ref="AP616:AP619" si="1300">SUM(AN616:AO616)</f>
        <v>960000</v>
      </c>
      <c r="AQ616" s="717">
        <f t="shared" si="1289"/>
        <v>0</v>
      </c>
    </row>
    <row r="617" spans="2:44" s="4" customFormat="1" ht="48" customHeight="1">
      <c r="B617" s="35" t="s">
        <v>1505</v>
      </c>
      <c r="C617" s="735" t="s">
        <v>1517</v>
      </c>
      <c r="D617" s="92"/>
      <c r="E617" s="39" t="s">
        <v>125</v>
      </c>
      <c r="F617" s="35"/>
      <c r="G617" s="71">
        <v>2024</v>
      </c>
      <c r="H617" s="71">
        <v>2030</v>
      </c>
      <c r="I617" s="115">
        <v>1200000</v>
      </c>
      <c r="J617" s="115">
        <v>0</v>
      </c>
      <c r="K617" s="293">
        <f t="shared" si="1290"/>
        <v>1200000</v>
      </c>
      <c r="L617" s="115">
        <v>1200000</v>
      </c>
      <c r="M617" s="115">
        <v>0</v>
      </c>
      <c r="N617" s="293">
        <f t="shared" si="1291"/>
        <v>1200000</v>
      </c>
      <c r="O617" s="115">
        <v>1200000</v>
      </c>
      <c r="P617" s="115">
        <v>0</v>
      </c>
      <c r="Q617" s="293">
        <f t="shared" si="1292"/>
        <v>1200000</v>
      </c>
      <c r="R617" s="115">
        <v>1200000</v>
      </c>
      <c r="S617" s="115">
        <v>0</v>
      </c>
      <c r="T617" s="293">
        <f t="shared" si="1293"/>
        <v>1200000</v>
      </c>
      <c r="U617" s="115">
        <v>1200000</v>
      </c>
      <c r="V617" s="115">
        <v>0</v>
      </c>
      <c r="W617" s="293">
        <f t="shared" si="1294"/>
        <v>1200000</v>
      </c>
      <c r="X617" s="115">
        <v>1200000</v>
      </c>
      <c r="Y617" s="115">
        <v>0</v>
      </c>
      <c r="Z617" s="293">
        <f t="shared" si="1295"/>
        <v>1200000</v>
      </c>
      <c r="AA617" s="115">
        <v>1200000</v>
      </c>
      <c r="AB617" s="115">
        <v>0</v>
      </c>
      <c r="AC617" s="293">
        <f t="shared" si="1296"/>
        <v>1200000</v>
      </c>
      <c r="AD617" s="115">
        <f t="shared" si="1287"/>
        <v>8400000</v>
      </c>
      <c r="AE617" s="115">
        <f t="shared" si="1288"/>
        <v>0</v>
      </c>
      <c r="AF617" s="293">
        <f t="shared" si="1297"/>
        <v>8400000</v>
      </c>
      <c r="AG617" s="115">
        <f>1200000*3</f>
        <v>3600000</v>
      </c>
      <c r="AH617" s="115">
        <v>0</v>
      </c>
      <c r="AI617" s="293">
        <f t="shared" si="1298"/>
        <v>3600000</v>
      </c>
      <c r="AJ617" s="115">
        <v>0</v>
      </c>
      <c r="AK617" s="115">
        <v>0</v>
      </c>
      <c r="AL617" s="115"/>
      <c r="AM617" s="293">
        <f t="shared" si="1299"/>
        <v>0</v>
      </c>
      <c r="AN617" s="115">
        <f>1200000*4</f>
        <v>4800000</v>
      </c>
      <c r="AO617" s="115">
        <v>0</v>
      </c>
      <c r="AP617" s="293">
        <f t="shared" si="1300"/>
        <v>4800000</v>
      </c>
      <c r="AQ617" s="717">
        <f t="shared" si="1289"/>
        <v>0</v>
      </c>
    </row>
    <row r="618" spans="2:44" s="4" customFormat="1" ht="48" customHeight="1">
      <c r="B618" s="35" t="s">
        <v>1506</v>
      </c>
      <c r="C618" s="735" t="s">
        <v>1518</v>
      </c>
      <c r="D618" s="92"/>
      <c r="E618" s="39" t="s">
        <v>125</v>
      </c>
      <c r="F618" s="35"/>
      <c r="G618" s="71">
        <v>2024</v>
      </c>
      <c r="H618" s="71">
        <v>2030</v>
      </c>
      <c r="I618" s="115">
        <v>271678</v>
      </c>
      <c r="J618" s="115">
        <v>0</v>
      </c>
      <c r="K618" s="293">
        <f t="shared" si="1290"/>
        <v>271678</v>
      </c>
      <c r="L618" s="115">
        <v>271678</v>
      </c>
      <c r="M618" s="115">
        <v>0</v>
      </c>
      <c r="N618" s="293">
        <f t="shared" si="1291"/>
        <v>271678</v>
      </c>
      <c r="O618" s="115">
        <v>271678</v>
      </c>
      <c r="P618" s="115">
        <v>0</v>
      </c>
      <c r="Q618" s="293">
        <f t="shared" si="1292"/>
        <v>271678</v>
      </c>
      <c r="R618" s="115">
        <v>271678</v>
      </c>
      <c r="S618" s="115">
        <v>0</v>
      </c>
      <c r="T618" s="293">
        <f t="shared" si="1293"/>
        <v>271678</v>
      </c>
      <c r="U618" s="115">
        <v>271678</v>
      </c>
      <c r="V618" s="115">
        <v>0</v>
      </c>
      <c r="W618" s="293">
        <f t="shared" si="1294"/>
        <v>271678</v>
      </c>
      <c r="X618" s="115">
        <v>271678</v>
      </c>
      <c r="Y618" s="115">
        <v>0</v>
      </c>
      <c r="Z618" s="293">
        <f t="shared" si="1295"/>
        <v>271678</v>
      </c>
      <c r="AA618" s="115">
        <v>271678</v>
      </c>
      <c r="AB618" s="115">
        <v>0</v>
      </c>
      <c r="AC618" s="293">
        <f t="shared" si="1296"/>
        <v>271678</v>
      </c>
      <c r="AD618" s="115">
        <f t="shared" si="1287"/>
        <v>1901746</v>
      </c>
      <c r="AE618" s="115">
        <f t="shared" si="1288"/>
        <v>0</v>
      </c>
      <c r="AF618" s="293">
        <f t="shared" si="1297"/>
        <v>1901746</v>
      </c>
      <c r="AG618" s="115">
        <f>271678*3</f>
        <v>815034</v>
      </c>
      <c r="AH618" s="115">
        <v>0</v>
      </c>
      <c r="AI618" s="293">
        <f t="shared" si="1298"/>
        <v>815034</v>
      </c>
      <c r="AJ618" s="115">
        <v>0</v>
      </c>
      <c r="AK618" s="115">
        <v>0</v>
      </c>
      <c r="AL618" s="115"/>
      <c r="AM618" s="293">
        <f t="shared" si="1299"/>
        <v>0</v>
      </c>
      <c r="AN618" s="115">
        <f>271678*4</f>
        <v>1086712</v>
      </c>
      <c r="AO618" s="115">
        <v>0</v>
      </c>
      <c r="AP618" s="293">
        <f t="shared" si="1300"/>
        <v>1086712</v>
      </c>
      <c r="AQ618" s="717">
        <f t="shared" si="1289"/>
        <v>0</v>
      </c>
    </row>
    <row r="619" spans="2:44" s="4" customFormat="1" ht="48" customHeight="1" thickBot="1">
      <c r="B619" s="35" t="s">
        <v>1507</v>
      </c>
      <c r="C619" s="733" t="s">
        <v>1519</v>
      </c>
      <c r="D619" s="92"/>
      <c r="E619" s="389" t="s">
        <v>125</v>
      </c>
      <c r="F619" s="35"/>
      <c r="G619" s="71">
        <v>2024</v>
      </c>
      <c r="H619" s="71">
        <v>2030</v>
      </c>
      <c r="I619" s="115">
        <v>0</v>
      </c>
      <c r="J619" s="115">
        <v>0</v>
      </c>
      <c r="K619" s="293">
        <f t="shared" si="1290"/>
        <v>0</v>
      </c>
      <c r="L619" s="115">
        <v>0</v>
      </c>
      <c r="M619" s="115">
        <v>0</v>
      </c>
      <c r="N619" s="293">
        <f t="shared" si="1291"/>
        <v>0</v>
      </c>
      <c r="O619" s="115">
        <v>0</v>
      </c>
      <c r="P619" s="115">
        <v>0</v>
      </c>
      <c r="Q619" s="293">
        <f t="shared" si="1292"/>
        <v>0</v>
      </c>
      <c r="R619" s="115">
        <v>0</v>
      </c>
      <c r="S619" s="115">
        <v>0</v>
      </c>
      <c r="T619" s="293">
        <f t="shared" si="1293"/>
        <v>0</v>
      </c>
      <c r="U619" s="115">
        <v>0</v>
      </c>
      <c r="V619" s="115">
        <v>0</v>
      </c>
      <c r="W619" s="293">
        <f t="shared" si="1294"/>
        <v>0</v>
      </c>
      <c r="X619" s="115">
        <v>0</v>
      </c>
      <c r="Y619" s="115">
        <v>0</v>
      </c>
      <c r="Z619" s="293">
        <f t="shared" si="1295"/>
        <v>0</v>
      </c>
      <c r="AA619" s="115">
        <v>0</v>
      </c>
      <c r="AB619" s="115">
        <v>0</v>
      </c>
      <c r="AC619" s="293">
        <f t="shared" si="1296"/>
        <v>0</v>
      </c>
      <c r="AD619" s="115">
        <f t="shared" si="1287"/>
        <v>0</v>
      </c>
      <c r="AE619" s="115">
        <f t="shared" si="1288"/>
        <v>0</v>
      </c>
      <c r="AF619" s="293">
        <f t="shared" si="1297"/>
        <v>0</v>
      </c>
      <c r="AG619" s="115">
        <v>0</v>
      </c>
      <c r="AH619" s="115">
        <v>0</v>
      </c>
      <c r="AI619" s="293">
        <f t="shared" si="1298"/>
        <v>0</v>
      </c>
      <c r="AJ619" s="115">
        <v>0</v>
      </c>
      <c r="AK619" s="115">
        <v>0</v>
      </c>
      <c r="AL619" s="115"/>
      <c r="AM619" s="293">
        <f t="shared" si="1299"/>
        <v>0</v>
      </c>
      <c r="AN619" s="115">
        <v>0</v>
      </c>
      <c r="AO619" s="115">
        <v>0</v>
      </c>
      <c r="AP619" s="293">
        <f t="shared" si="1300"/>
        <v>0</v>
      </c>
      <c r="AQ619" s="717">
        <f t="shared" si="1289"/>
        <v>0</v>
      </c>
    </row>
    <row r="620" spans="2:44" s="4" customFormat="1" ht="48" customHeight="1" thickBot="1">
      <c r="B620" s="210"/>
      <c r="C620" s="237" t="s">
        <v>1508</v>
      </c>
      <c r="D620" s="217"/>
      <c r="E620" s="210"/>
      <c r="F620" s="210"/>
      <c r="G620" s="210"/>
      <c r="H620" s="210"/>
      <c r="I620" s="238">
        <f>SUM(I587,I591,I597,I600,I603,I610,I612,I615)</f>
        <v>7027164</v>
      </c>
      <c r="J620" s="238">
        <f t="shared" ref="J620:AQ620" si="1301">SUM(J587,J591,J597,J600,J603,J610,J612,J615)</f>
        <v>0</v>
      </c>
      <c r="K620" s="238">
        <f t="shared" si="1301"/>
        <v>7027164</v>
      </c>
      <c r="L620" s="238">
        <f t="shared" si="1301"/>
        <v>9800584</v>
      </c>
      <c r="M620" s="238">
        <f t="shared" si="1301"/>
        <v>0</v>
      </c>
      <c r="N620" s="238">
        <f t="shared" si="1301"/>
        <v>9800584</v>
      </c>
      <c r="O620" s="238">
        <f t="shared" si="1301"/>
        <v>8657229</v>
      </c>
      <c r="P620" s="238">
        <f t="shared" si="1301"/>
        <v>0</v>
      </c>
      <c r="Q620" s="238">
        <f t="shared" si="1301"/>
        <v>8657229</v>
      </c>
      <c r="R620" s="238">
        <f t="shared" si="1301"/>
        <v>7570519</v>
      </c>
      <c r="S620" s="238">
        <f t="shared" si="1301"/>
        <v>0</v>
      </c>
      <c r="T620" s="417">
        <f t="shared" si="1301"/>
        <v>7570519</v>
      </c>
      <c r="U620" s="417">
        <f t="shared" si="1301"/>
        <v>7570519</v>
      </c>
      <c r="V620" s="417">
        <f t="shared" si="1301"/>
        <v>0</v>
      </c>
      <c r="W620" s="417">
        <f t="shared" si="1301"/>
        <v>7570519</v>
      </c>
      <c r="X620" s="417">
        <f t="shared" si="1301"/>
        <v>7027164</v>
      </c>
      <c r="Y620" s="417">
        <f t="shared" si="1301"/>
        <v>0</v>
      </c>
      <c r="Z620" s="417">
        <f t="shared" si="1301"/>
        <v>7027164</v>
      </c>
      <c r="AA620" s="417">
        <f t="shared" si="1301"/>
        <v>7027164</v>
      </c>
      <c r="AB620" s="417">
        <f t="shared" si="1301"/>
        <v>0</v>
      </c>
      <c r="AC620" s="417">
        <f t="shared" si="1301"/>
        <v>7027164</v>
      </c>
      <c r="AD620" s="417">
        <f t="shared" si="1301"/>
        <v>54680343</v>
      </c>
      <c r="AE620" s="417">
        <f t="shared" si="1301"/>
        <v>0</v>
      </c>
      <c r="AF620" s="417">
        <f t="shared" si="1301"/>
        <v>54680343</v>
      </c>
      <c r="AG620" s="417">
        <f t="shared" si="1301"/>
        <v>25484977</v>
      </c>
      <c r="AH620" s="417">
        <f t="shared" si="1301"/>
        <v>0</v>
      </c>
      <c r="AI620" s="417">
        <f t="shared" si="1301"/>
        <v>25484977</v>
      </c>
      <c r="AJ620" s="417">
        <f t="shared" si="1301"/>
        <v>0</v>
      </c>
      <c r="AK620" s="417">
        <f t="shared" si="1301"/>
        <v>0</v>
      </c>
      <c r="AL620" s="417"/>
      <c r="AM620" s="417">
        <f t="shared" si="1301"/>
        <v>0</v>
      </c>
      <c r="AN620" s="417">
        <f t="shared" si="1301"/>
        <v>29195366</v>
      </c>
      <c r="AO620" s="417">
        <f t="shared" si="1301"/>
        <v>0</v>
      </c>
      <c r="AP620" s="417">
        <f t="shared" si="1301"/>
        <v>29195366</v>
      </c>
      <c r="AQ620" s="418">
        <f t="shared" si="1301"/>
        <v>0</v>
      </c>
    </row>
    <row r="621" spans="2:44" ht="47.45" customHeight="1">
      <c r="B621" s="55">
        <v>4.4000000000000004</v>
      </c>
      <c r="C621" s="845" t="s">
        <v>1532</v>
      </c>
      <c r="D621" s="846"/>
      <c r="E621" s="90"/>
      <c r="F621" s="90"/>
      <c r="G621" s="90"/>
      <c r="H621" s="90"/>
      <c r="I621" s="103"/>
      <c r="J621" s="103"/>
      <c r="K621" s="103"/>
      <c r="L621" s="103"/>
      <c r="M621" s="103"/>
      <c r="N621" s="103"/>
      <c r="O621" s="103"/>
      <c r="P621" s="103"/>
      <c r="Q621" s="103"/>
      <c r="R621" s="103"/>
      <c r="S621" s="103"/>
      <c r="T621" s="103"/>
      <c r="U621" s="103"/>
      <c r="V621" s="103"/>
      <c r="W621" s="103"/>
      <c r="X621" s="103"/>
      <c r="Y621" s="103"/>
      <c r="Z621" s="103"/>
      <c r="AA621" s="103"/>
      <c r="AB621" s="103"/>
      <c r="AC621" s="103"/>
      <c r="AD621" s="103"/>
      <c r="AE621" s="103"/>
      <c r="AF621" s="103"/>
      <c r="AG621" s="103"/>
      <c r="AH621" s="103"/>
      <c r="AI621" s="103"/>
      <c r="AJ621" s="103"/>
      <c r="AK621" s="103"/>
      <c r="AL621" s="103"/>
      <c r="AM621" s="103"/>
      <c r="AN621" s="103"/>
      <c r="AO621" s="103"/>
      <c r="AP621" s="103"/>
      <c r="AQ621" s="104"/>
      <c r="AR621" s="47"/>
    </row>
    <row r="622" spans="2:44" ht="31.9" customHeight="1">
      <c r="B622" s="88"/>
      <c r="C622" s="675" t="s">
        <v>68</v>
      </c>
      <c r="D622" s="180"/>
      <c r="E622" s="631"/>
      <c r="F622" s="631"/>
      <c r="G622" s="631"/>
      <c r="H622" s="631"/>
      <c r="I622" s="586"/>
      <c r="J622" s="586"/>
      <c r="K622" s="586"/>
      <c r="L622" s="586"/>
      <c r="M622" s="586"/>
      <c r="N622" s="586"/>
      <c r="O622" s="586"/>
      <c r="P622" s="586"/>
      <c r="Q622" s="586"/>
      <c r="R622" s="586"/>
      <c r="S622" s="586"/>
      <c r="T622" s="83"/>
      <c r="U622" s="83"/>
      <c r="V622" s="83"/>
      <c r="W622" s="83"/>
      <c r="X622" s="83"/>
      <c r="Y622" s="83"/>
      <c r="Z622" s="83"/>
      <c r="AA622" s="83"/>
      <c r="AB622" s="83"/>
      <c r="AC622" s="83"/>
      <c r="AD622" s="83"/>
      <c r="AE622" s="83"/>
      <c r="AF622" s="83"/>
      <c r="AG622" s="83"/>
      <c r="AH622" s="83"/>
      <c r="AI622" s="83"/>
      <c r="AJ622" s="83"/>
      <c r="AK622" s="83"/>
      <c r="AL622" s="83"/>
      <c r="AM622" s="83"/>
      <c r="AN622" s="83"/>
      <c r="AO622" s="83"/>
      <c r="AP622" s="83"/>
      <c r="AQ622" s="112"/>
      <c r="AR622" s="47"/>
    </row>
    <row r="623" spans="2:44" s="4" customFormat="1" ht="48" customHeight="1" thickBot="1">
      <c r="B623" s="210" t="s">
        <v>1520</v>
      </c>
      <c r="C623" s="287" t="s">
        <v>1533</v>
      </c>
      <c r="D623" s="287"/>
      <c r="E623" s="186" t="s">
        <v>1018</v>
      </c>
      <c r="F623" s="210"/>
      <c r="G623" s="350">
        <v>2024</v>
      </c>
      <c r="H623" s="350">
        <v>2030</v>
      </c>
      <c r="I623" s="220">
        <f>SUM(I624:I627)</f>
        <v>3600000</v>
      </c>
      <c r="J623" s="220">
        <f>SUM(J624:J627)</f>
        <v>0</v>
      </c>
      <c r="K623" s="220">
        <f>SUM(I623:J623)</f>
        <v>3600000</v>
      </c>
      <c r="L623" s="220">
        <f>SUM(L624:L627)</f>
        <v>1200000</v>
      </c>
      <c r="M623" s="220">
        <f>SUM(M624:M627)</f>
        <v>0</v>
      </c>
      <c r="N623" s="220">
        <f>SUM(L623:M623)</f>
        <v>1200000</v>
      </c>
      <c r="O623" s="220">
        <f>SUM(O624:O627)</f>
        <v>600000</v>
      </c>
      <c r="P623" s="220">
        <f>SUM(P624:P627)</f>
        <v>0</v>
      </c>
      <c r="Q623" s="220">
        <f>SUM(O623:P623)</f>
        <v>600000</v>
      </c>
      <c r="R623" s="220">
        <f>SUM(R624:R627)</f>
        <v>600000</v>
      </c>
      <c r="S623" s="220">
        <f>SUM(S624:S627)</f>
        <v>0</v>
      </c>
      <c r="T623" s="220">
        <f>SUM(R623:S623)</f>
        <v>600000</v>
      </c>
      <c r="U623" s="220">
        <f>SUM(U624:U627)</f>
        <v>600000</v>
      </c>
      <c r="V623" s="220">
        <f>SUM(V624:V627)</f>
        <v>0</v>
      </c>
      <c r="W623" s="220">
        <f>SUM(U623:V623)</f>
        <v>600000</v>
      </c>
      <c r="X623" s="220">
        <f>SUM(X624:X627)</f>
        <v>600000</v>
      </c>
      <c r="Y623" s="220">
        <f>SUM(Y624:Y627)</f>
        <v>0</v>
      </c>
      <c r="Z623" s="220">
        <f>SUM(X623:Y623)</f>
        <v>600000</v>
      </c>
      <c r="AA623" s="220">
        <f>SUM(AA624:AA627)</f>
        <v>600000</v>
      </c>
      <c r="AB623" s="220">
        <f>SUM(AB624:AB627)</f>
        <v>0</v>
      </c>
      <c r="AC623" s="220">
        <f>SUM(AA623:AB623)</f>
        <v>600000</v>
      </c>
      <c r="AD623" s="220">
        <f t="shared" ref="AD623:AD625" si="1302">I623+L623+O623+R623+U623+X623+AA623</f>
        <v>7800000</v>
      </c>
      <c r="AE623" s="220">
        <f t="shared" ref="AE623:AE625" si="1303">J623+M623+P623+S623+V623+Y623+AB623</f>
        <v>0</v>
      </c>
      <c r="AF623" s="220">
        <f>SUM(AD623:AE623)</f>
        <v>7800000</v>
      </c>
      <c r="AG623" s="220">
        <f>SUM(AG624:AG627)</f>
        <v>5400000</v>
      </c>
      <c r="AH623" s="220">
        <f>SUM(AH624:AH627)</f>
        <v>0</v>
      </c>
      <c r="AI623" s="220">
        <f>SUM(AG623:AH623)</f>
        <v>5400000</v>
      </c>
      <c r="AJ623" s="220">
        <f>SUM(AJ624:AJ627)</f>
        <v>0</v>
      </c>
      <c r="AK623" s="220">
        <f>SUM(AK624:AK627)</f>
        <v>0</v>
      </c>
      <c r="AL623" s="220"/>
      <c r="AM623" s="220">
        <f>AJ623+AK623</f>
        <v>0</v>
      </c>
      <c r="AN623" s="220">
        <f>SUM(AN624:AN627)</f>
        <v>2400000</v>
      </c>
      <c r="AO623" s="220">
        <f>SUM(AO624:AO627)</f>
        <v>0</v>
      </c>
      <c r="AP623" s="220">
        <f>SUM(AN623:AO623)</f>
        <v>2400000</v>
      </c>
      <c r="AQ623" s="461">
        <f t="shared" ref="AQ623:AQ627" si="1304">SUM(AP623+AM623+AI623)-AF623</f>
        <v>0</v>
      </c>
    </row>
    <row r="624" spans="2:44" s="4" customFormat="1" ht="48" customHeight="1">
      <c r="B624" s="35" t="s">
        <v>1521</v>
      </c>
      <c r="C624" s="732" t="s">
        <v>1534</v>
      </c>
      <c r="D624" s="423"/>
      <c r="E624" s="736" t="s">
        <v>1018</v>
      </c>
      <c r="F624" s="35"/>
      <c r="G624" s="71">
        <v>2024</v>
      </c>
      <c r="H624" s="71">
        <v>2024</v>
      </c>
      <c r="I624" s="115">
        <v>2400000</v>
      </c>
      <c r="J624" s="115">
        <v>0</v>
      </c>
      <c r="K624" s="293">
        <f t="shared" ref="K624:K627" si="1305">SUM(I624:J624)</f>
        <v>2400000</v>
      </c>
      <c r="L624" s="115">
        <v>0</v>
      </c>
      <c r="M624" s="115">
        <v>0</v>
      </c>
      <c r="N624" s="293">
        <f t="shared" ref="N624:N627" si="1306">SUM(L624:M624)</f>
        <v>0</v>
      </c>
      <c r="O624" s="115">
        <v>0</v>
      </c>
      <c r="P624" s="115">
        <v>0</v>
      </c>
      <c r="Q624" s="293">
        <f t="shared" ref="Q624:Q627" si="1307">SUM(O624:P624)</f>
        <v>0</v>
      </c>
      <c r="R624" s="115">
        <v>0</v>
      </c>
      <c r="S624" s="115">
        <v>0</v>
      </c>
      <c r="T624" s="293">
        <f t="shared" ref="T624:T627" si="1308">SUM(R624:S624)</f>
        <v>0</v>
      </c>
      <c r="U624" s="115">
        <v>0</v>
      </c>
      <c r="V624" s="115">
        <v>0</v>
      </c>
      <c r="W624" s="293">
        <f t="shared" ref="W624:W627" si="1309">SUM(U624:V624)</f>
        <v>0</v>
      </c>
      <c r="X624" s="115">
        <v>0</v>
      </c>
      <c r="Y624" s="115">
        <v>0</v>
      </c>
      <c r="Z624" s="293">
        <f t="shared" ref="Z624:Z627" si="1310">SUM(X624:Y624)</f>
        <v>0</v>
      </c>
      <c r="AA624" s="115">
        <v>0</v>
      </c>
      <c r="AB624" s="115">
        <v>0</v>
      </c>
      <c r="AC624" s="293">
        <f t="shared" ref="AC624:AC627" si="1311">SUM(AA624:AB624)</f>
        <v>0</v>
      </c>
      <c r="AD624" s="115">
        <f t="shared" si="1302"/>
        <v>2400000</v>
      </c>
      <c r="AE624" s="115">
        <f t="shared" si="1303"/>
        <v>0</v>
      </c>
      <c r="AF624" s="293">
        <f t="shared" ref="AF624:AF627" si="1312">SUM(AD624:AE624)</f>
        <v>2400000</v>
      </c>
      <c r="AG624" s="115">
        <v>2400000</v>
      </c>
      <c r="AH624" s="115">
        <v>0</v>
      </c>
      <c r="AI624" s="293">
        <f t="shared" ref="AI624:AI627" si="1313">SUM(AG624:AH624)</f>
        <v>2400000</v>
      </c>
      <c r="AJ624" s="115">
        <v>0</v>
      </c>
      <c r="AK624" s="115">
        <v>0</v>
      </c>
      <c r="AL624" s="115"/>
      <c r="AM624" s="293">
        <f t="shared" ref="AM624:AM627" si="1314">AJ624+AK624</f>
        <v>0</v>
      </c>
      <c r="AN624" s="115">
        <v>0</v>
      </c>
      <c r="AO624" s="115">
        <v>0</v>
      </c>
      <c r="AP624" s="293">
        <f t="shared" ref="AP624:AP627" si="1315">SUM(AN624:AO624)</f>
        <v>0</v>
      </c>
      <c r="AQ624" s="717">
        <f t="shared" si="1304"/>
        <v>0</v>
      </c>
    </row>
    <row r="625" spans="2:43" s="4" customFormat="1" ht="48" customHeight="1">
      <c r="B625" s="35" t="s">
        <v>1522</v>
      </c>
      <c r="C625" s="735" t="s">
        <v>1535</v>
      </c>
      <c r="D625" s="423"/>
      <c r="E625" s="737" t="s">
        <v>1018</v>
      </c>
      <c r="F625" s="35"/>
      <c r="G625" s="71">
        <v>2025</v>
      </c>
      <c r="H625" s="71">
        <v>2025</v>
      </c>
      <c r="I625" s="115">
        <v>0</v>
      </c>
      <c r="J625" s="115">
        <v>0</v>
      </c>
      <c r="K625" s="293">
        <f t="shared" si="1305"/>
        <v>0</v>
      </c>
      <c r="L625" s="115">
        <v>0</v>
      </c>
      <c r="M625" s="115">
        <v>0</v>
      </c>
      <c r="N625" s="293">
        <f t="shared" si="1306"/>
        <v>0</v>
      </c>
      <c r="O625" s="115">
        <v>0</v>
      </c>
      <c r="P625" s="115">
        <v>0</v>
      </c>
      <c r="Q625" s="293">
        <f t="shared" si="1307"/>
        <v>0</v>
      </c>
      <c r="R625" s="115">
        <v>0</v>
      </c>
      <c r="S625" s="115">
        <v>0</v>
      </c>
      <c r="T625" s="293">
        <f t="shared" si="1308"/>
        <v>0</v>
      </c>
      <c r="U625" s="115">
        <v>0</v>
      </c>
      <c r="V625" s="115">
        <v>0</v>
      </c>
      <c r="W625" s="293">
        <f t="shared" si="1309"/>
        <v>0</v>
      </c>
      <c r="X625" s="115">
        <v>0</v>
      </c>
      <c r="Y625" s="115">
        <v>0</v>
      </c>
      <c r="Z625" s="293">
        <f t="shared" si="1310"/>
        <v>0</v>
      </c>
      <c r="AA625" s="115">
        <v>0</v>
      </c>
      <c r="AB625" s="115">
        <v>0</v>
      </c>
      <c r="AC625" s="293">
        <f t="shared" si="1311"/>
        <v>0</v>
      </c>
      <c r="AD625" s="115">
        <f t="shared" si="1302"/>
        <v>0</v>
      </c>
      <c r="AE625" s="115">
        <f t="shared" si="1303"/>
        <v>0</v>
      </c>
      <c r="AF625" s="293">
        <f t="shared" si="1312"/>
        <v>0</v>
      </c>
      <c r="AG625" s="115">
        <v>0</v>
      </c>
      <c r="AH625" s="115">
        <v>0</v>
      </c>
      <c r="AI625" s="293">
        <f t="shared" si="1313"/>
        <v>0</v>
      </c>
      <c r="AJ625" s="115">
        <v>0</v>
      </c>
      <c r="AK625" s="115">
        <v>0</v>
      </c>
      <c r="AL625" s="115"/>
      <c r="AM625" s="293">
        <f t="shared" si="1314"/>
        <v>0</v>
      </c>
      <c r="AN625" s="115">
        <v>0</v>
      </c>
      <c r="AO625" s="115">
        <v>0</v>
      </c>
      <c r="AP625" s="293">
        <f t="shared" si="1315"/>
        <v>0</v>
      </c>
      <c r="AQ625" s="717">
        <f t="shared" si="1304"/>
        <v>0</v>
      </c>
    </row>
    <row r="626" spans="2:43" s="4" customFormat="1" ht="48" customHeight="1">
      <c r="B626" s="35" t="s">
        <v>1523</v>
      </c>
      <c r="C626" s="735" t="s">
        <v>1536</v>
      </c>
      <c r="D626" s="423"/>
      <c r="E626" s="737" t="s">
        <v>1018</v>
      </c>
      <c r="F626" s="35"/>
      <c r="G626" s="71">
        <v>2024</v>
      </c>
      <c r="H626" s="71">
        <v>2025</v>
      </c>
      <c r="I626" s="115">
        <v>1200000</v>
      </c>
      <c r="J626" s="115">
        <v>0</v>
      </c>
      <c r="K626" s="293">
        <f t="shared" si="1305"/>
        <v>1200000</v>
      </c>
      <c r="L626" s="115">
        <v>600000</v>
      </c>
      <c r="M626" s="115">
        <v>0</v>
      </c>
      <c r="N626" s="293">
        <f t="shared" si="1306"/>
        <v>600000</v>
      </c>
      <c r="O626" s="115">
        <v>0</v>
      </c>
      <c r="P626" s="115">
        <v>0</v>
      </c>
      <c r="Q626" s="293">
        <f t="shared" si="1307"/>
        <v>0</v>
      </c>
      <c r="R626" s="115">
        <v>0</v>
      </c>
      <c r="S626" s="115">
        <v>0</v>
      </c>
      <c r="T626" s="293">
        <f t="shared" si="1308"/>
        <v>0</v>
      </c>
      <c r="U626" s="115">
        <v>0</v>
      </c>
      <c r="V626" s="115">
        <v>0</v>
      </c>
      <c r="W626" s="293">
        <f t="shared" si="1309"/>
        <v>0</v>
      </c>
      <c r="X626" s="115">
        <v>0</v>
      </c>
      <c r="Y626" s="115">
        <v>0</v>
      </c>
      <c r="Z626" s="293">
        <f t="shared" si="1310"/>
        <v>0</v>
      </c>
      <c r="AA626" s="115">
        <v>0</v>
      </c>
      <c r="AB626" s="115">
        <v>0</v>
      </c>
      <c r="AC626" s="293">
        <f t="shared" si="1311"/>
        <v>0</v>
      </c>
      <c r="AD626" s="115">
        <f t="shared" ref="AD626:AD632" si="1316">I626+L626+O626+R626+U626+X626+AA626</f>
        <v>1800000</v>
      </c>
      <c r="AE626" s="115">
        <f t="shared" ref="AE626:AE629" si="1317">J626+M626+P626+S626+V626+Y626+AB626</f>
        <v>0</v>
      </c>
      <c r="AF626" s="293">
        <f t="shared" si="1312"/>
        <v>1800000</v>
      </c>
      <c r="AG626" s="115">
        <v>1800000</v>
      </c>
      <c r="AH626" s="115">
        <v>0</v>
      </c>
      <c r="AI626" s="293">
        <f t="shared" si="1313"/>
        <v>1800000</v>
      </c>
      <c r="AJ626" s="115">
        <v>0</v>
      </c>
      <c r="AK626" s="115">
        <v>0</v>
      </c>
      <c r="AL626" s="115"/>
      <c r="AM626" s="293">
        <f t="shared" si="1314"/>
        <v>0</v>
      </c>
      <c r="AN626" s="115">
        <v>0</v>
      </c>
      <c r="AO626" s="115">
        <v>0</v>
      </c>
      <c r="AP626" s="293">
        <f t="shared" si="1315"/>
        <v>0</v>
      </c>
      <c r="AQ626" s="717">
        <f t="shared" si="1304"/>
        <v>0</v>
      </c>
    </row>
    <row r="627" spans="2:43" s="4" customFormat="1" ht="48" customHeight="1" thickBot="1">
      <c r="B627" s="35" t="s">
        <v>1524</v>
      </c>
      <c r="C627" s="733" t="s">
        <v>1537</v>
      </c>
      <c r="D627" s="423"/>
      <c r="E627" s="738" t="s">
        <v>1018</v>
      </c>
      <c r="F627" s="35"/>
      <c r="G627" s="71">
        <v>2025</v>
      </c>
      <c r="H627" s="71">
        <v>2030</v>
      </c>
      <c r="I627" s="115">
        <v>0</v>
      </c>
      <c r="J627" s="115">
        <v>0</v>
      </c>
      <c r="K627" s="293">
        <f t="shared" si="1305"/>
        <v>0</v>
      </c>
      <c r="L627" s="115">
        <v>600000</v>
      </c>
      <c r="M627" s="115">
        <v>0</v>
      </c>
      <c r="N627" s="293">
        <f t="shared" si="1306"/>
        <v>600000</v>
      </c>
      <c r="O627" s="115">
        <v>600000</v>
      </c>
      <c r="P627" s="115">
        <v>0</v>
      </c>
      <c r="Q627" s="293">
        <f t="shared" si="1307"/>
        <v>600000</v>
      </c>
      <c r="R627" s="115">
        <v>600000</v>
      </c>
      <c r="S627" s="115">
        <v>0</v>
      </c>
      <c r="T627" s="293">
        <f t="shared" si="1308"/>
        <v>600000</v>
      </c>
      <c r="U627" s="115">
        <v>600000</v>
      </c>
      <c r="V627" s="115">
        <v>0</v>
      </c>
      <c r="W627" s="293">
        <f t="shared" si="1309"/>
        <v>600000</v>
      </c>
      <c r="X627" s="115">
        <v>600000</v>
      </c>
      <c r="Y627" s="115">
        <v>0</v>
      </c>
      <c r="Z627" s="293">
        <f t="shared" si="1310"/>
        <v>600000</v>
      </c>
      <c r="AA627" s="115">
        <v>600000</v>
      </c>
      <c r="AB627" s="115">
        <v>0</v>
      </c>
      <c r="AC627" s="293">
        <f t="shared" si="1311"/>
        <v>600000</v>
      </c>
      <c r="AD627" s="115">
        <f t="shared" si="1316"/>
        <v>3600000</v>
      </c>
      <c r="AE627" s="115">
        <f t="shared" si="1317"/>
        <v>0</v>
      </c>
      <c r="AF627" s="293">
        <f t="shared" si="1312"/>
        <v>3600000</v>
      </c>
      <c r="AG627" s="115">
        <f>600000*2</f>
        <v>1200000</v>
      </c>
      <c r="AH627" s="115">
        <v>0</v>
      </c>
      <c r="AI627" s="293">
        <f t="shared" si="1313"/>
        <v>1200000</v>
      </c>
      <c r="AJ627" s="115">
        <v>0</v>
      </c>
      <c r="AK627" s="115">
        <v>0</v>
      </c>
      <c r="AL627" s="115"/>
      <c r="AM627" s="293">
        <f t="shared" si="1314"/>
        <v>0</v>
      </c>
      <c r="AN627" s="115">
        <f>600000*4</f>
        <v>2400000</v>
      </c>
      <c r="AO627" s="115">
        <v>0</v>
      </c>
      <c r="AP627" s="293">
        <f t="shared" si="1315"/>
        <v>2400000</v>
      </c>
      <c r="AQ627" s="717">
        <f t="shared" si="1304"/>
        <v>0</v>
      </c>
    </row>
    <row r="628" spans="2:43" s="4" customFormat="1" ht="48" customHeight="1">
      <c r="B628" s="210" t="s">
        <v>1525</v>
      </c>
      <c r="C628" s="739" t="s">
        <v>1538</v>
      </c>
      <c r="D628" s="739"/>
      <c r="E628" s="543" t="s">
        <v>1543</v>
      </c>
      <c r="F628" s="414"/>
      <c r="G628" s="690">
        <v>2024</v>
      </c>
      <c r="H628" s="690">
        <v>2030</v>
      </c>
      <c r="I628" s="740">
        <f>SUM(I629:I632)</f>
        <v>1143355</v>
      </c>
      <c r="J628" s="740">
        <f>SUM(J629:J632)</f>
        <v>0</v>
      </c>
      <c r="K628" s="740">
        <f>SUM(I628:J628)</f>
        <v>1143355</v>
      </c>
      <c r="L628" s="220">
        <f>SUM(L629:L632)</f>
        <v>0</v>
      </c>
      <c r="M628" s="220">
        <f>SUM(M629:M632)</f>
        <v>0</v>
      </c>
      <c r="N628" s="220">
        <f>SUM(L628:M628)</f>
        <v>0</v>
      </c>
      <c r="O628" s="220">
        <f>SUM(O629:O632)</f>
        <v>0</v>
      </c>
      <c r="P628" s="220">
        <f>SUM(P629:P632)</f>
        <v>0</v>
      </c>
      <c r="Q628" s="220">
        <f>SUM(O628:P628)</f>
        <v>0</v>
      </c>
      <c r="R628" s="220">
        <f>SUM(R629:R632)</f>
        <v>0</v>
      </c>
      <c r="S628" s="220">
        <f>SUM(S629:S632)</f>
        <v>0</v>
      </c>
      <c r="T628" s="220">
        <f>SUM(R628:S628)</f>
        <v>0</v>
      </c>
      <c r="U628" s="220">
        <f>SUM(U629:U632)</f>
        <v>0</v>
      </c>
      <c r="V628" s="220">
        <f>SUM(V629:V632)</f>
        <v>0</v>
      </c>
      <c r="W628" s="220">
        <f>SUM(U628:V628)</f>
        <v>0</v>
      </c>
      <c r="X628" s="220">
        <f>SUM(X629:X632)</f>
        <v>0</v>
      </c>
      <c r="Y628" s="220">
        <f>SUM(Y629:Y632)</f>
        <v>0</v>
      </c>
      <c r="Z628" s="220">
        <f>SUM(X628:Y628)</f>
        <v>0</v>
      </c>
      <c r="AA628" s="220">
        <f>SUM(AA629:AA632)</f>
        <v>0</v>
      </c>
      <c r="AB628" s="220">
        <f>SUM(AB629:AB632)</f>
        <v>0</v>
      </c>
      <c r="AC628" s="220">
        <f>SUM(AA628:AB628)</f>
        <v>0</v>
      </c>
      <c r="AD628" s="220">
        <f t="shared" si="1316"/>
        <v>1143355</v>
      </c>
      <c r="AE628" s="220">
        <f t="shared" si="1317"/>
        <v>0</v>
      </c>
      <c r="AF628" s="220">
        <f>SUM(AD628:AE628)</f>
        <v>1143355</v>
      </c>
      <c r="AG628" s="220">
        <f>SUM(AG629:AG632)</f>
        <v>2143355</v>
      </c>
      <c r="AH628" s="220">
        <f>SUM(AH629:AH632)</f>
        <v>0</v>
      </c>
      <c r="AI628" s="220">
        <f>SUM(AG628:AH628)</f>
        <v>2143355</v>
      </c>
      <c r="AJ628" s="220">
        <f>SUM(AJ629:AJ632)</f>
        <v>0</v>
      </c>
      <c r="AK628" s="220">
        <f>SUM(AK629:AK632)</f>
        <v>0</v>
      </c>
      <c r="AL628" s="220"/>
      <c r="AM628" s="220">
        <f>AJ628+AK628</f>
        <v>0</v>
      </c>
      <c r="AN628" s="220">
        <f>SUM(AN629:AN632)</f>
        <v>0</v>
      </c>
      <c r="AO628" s="220">
        <f>SUM(AO629:AO632)</f>
        <v>0</v>
      </c>
      <c r="AP628" s="220">
        <f>SUM(AN628:AO628)</f>
        <v>0</v>
      </c>
      <c r="AQ628" s="461">
        <f t="shared" ref="AQ628:AQ634" si="1318">SUM(AP628+AM628+AI628)-AF628</f>
        <v>1000000</v>
      </c>
    </row>
    <row r="629" spans="2:43" s="4" customFormat="1" ht="48" customHeight="1">
      <c r="B629" s="35" t="s">
        <v>1526</v>
      </c>
      <c r="C629" s="327" t="s">
        <v>1539</v>
      </c>
      <c r="D629" s="423"/>
      <c r="E629" s="330" t="s">
        <v>370</v>
      </c>
      <c r="F629" s="35"/>
      <c r="G629" s="71">
        <v>2024</v>
      </c>
      <c r="H629" s="71">
        <v>2024</v>
      </c>
      <c r="I629" s="115">
        <v>600000</v>
      </c>
      <c r="J629" s="115">
        <v>0</v>
      </c>
      <c r="K629" s="293">
        <f t="shared" ref="K629:K632" si="1319">SUM(I629:J629)</f>
        <v>600000</v>
      </c>
      <c r="L629" s="115">
        <v>0</v>
      </c>
      <c r="M629" s="115">
        <v>0</v>
      </c>
      <c r="N629" s="293">
        <f t="shared" ref="N629:N632" si="1320">SUM(L629:M629)</f>
        <v>0</v>
      </c>
      <c r="O629" s="115">
        <v>0</v>
      </c>
      <c r="P629" s="115">
        <v>0</v>
      </c>
      <c r="Q629" s="293">
        <f t="shared" ref="Q629:Q632" si="1321">SUM(O629:P629)</f>
        <v>0</v>
      </c>
      <c r="R629" s="115">
        <v>0</v>
      </c>
      <c r="S629" s="115">
        <v>0</v>
      </c>
      <c r="T629" s="293">
        <f t="shared" ref="T629:T632" si="1322">SUM(R629:S629)</f>
        <v>0</v>
      </c>
      <c r="U629" s="115">
        <v>0</v>
      </c>
      <c r="V629" s="115">
        <v>0</v>
      </c>
      <c r="W629" s="293">
        <f t="shared" ref="W629:W632" si="1323">SUM(U629:V629)</f>
        <v>0</v>
      </c>
      <c r="X629" s="115">
        <v>0</v>
      </c>
      <c r="Y629" s="115">
        <v>0</v>
      </c>
      <c r="Z629" s="293">
        <f t="shared" ref="Z629:Z632" si="1324">SUM(X629:Y629)</f>
        <v>0</v>
      </c>
      <c r="AA629" s="115">
        <v>0</v>
      </c>
      <c r="AB629" s="115">
        <v>0</v>
      </c>
      <c r="AC629" s="293">
        <f t="shared" ref="AC629:AC632" si="1325">SUM(AA629:AB629)</f>
        <v>0</v>
      </c>
      <c r="AD629" s="115">
        <f t="shared" si="1316"/>
        <v>600000</v>
      </c>
      <c r="AE629" s="115">
        <f t="shared" si="1317"/>
        <v>0</v>
      </c>
      <c r="AF629" s="293">
        <f t="shared" ref="AF629:AF633" si="1326">SUM(AD629:AE629)</f>
        <v>600000</v>
      </c>
      <c r="AG629" s="115">
        <v>600000</v>
      </c>
      <c r="AH629" s="115">
        <v>0</v>
      </c>
      <c r="AI629" s="293">
        <f t="shared" ref="AI629:AI633" si="1327">SUM(AG629:AH629)</f>
        <v>600000</v>
      </c>
      <c r="AJ629" s="115">
        <v>0</v>
      </c>
      <c r="AK629" s="115">
        <v>0</v>
      </c>
      <c r="AL629" s="115"/>
      <c r="AM629" s="293">
        <f t="shared" ref="AM629:AM632" si="1328">AJ629+AK629</f>
        <v>0</v>
      </c>
      <c r="AN629" s="115">
        <v>0</v>
      </c>
      <c r="AO629" s="115">
        <v>0</v>
      </c>
      <c r="AP629" s="293">
        <f t="shared" ref="AP629:AP634" si="1329">SUM(AN629:AO629)</f>
        <v>0</v>
      </c>
      <c r="AQ629" s="717">
        <f t="shared" si="1318"/>
        <v>0</v>
      </c>
    </row>
    <row r="630" spans="2:43" s="4" customFormat="1" ht="48" customHeight="1">
      <c r="B630" s="35" t="s">
        <v>1527</v>
      </c>
      <c r="C630" s="327" t="s">
        <v>1540</v>
      </c>
      <c r="D630" s="92"/>
      <c r="E630" s="330" t="s">
        <v>370</v>
      </c>
      <c r="F630" s="35"/>
      <c r="G630" s="71">
        <v>2024</v>
      </c>
      <c r="H630" s="71">
        <v>2024</v>
      </c>
      <c r="I630" s="115">
        <v>543355</v>
      </c>
      <c r="J630" s="115">
        <v>0</v>
      </c>
      <c r="K630" s="293">
        <f t="shared" si="1319"/>
        <v>543355</v>
      </c>
      <c r="L630" s="115">
        <v>0</v>
      </c>
      <c r="M630" s="115">
        <v>0</v>
      </c>
      <c r="N630" s="293">
        <f t="shared" si="1320"/>
        <v>0</v>
      </c>
      <c r="O630" s="115">
        <v>0</v>
      </c>
      <c r="P630" s="115">
        <v>0</v>
      </c>
      <c r="Q630" s="293">
        <f t="shared" si="1321"/>
        <v>0</v>
      </c>
      <c r="R630" s="115">
        <v>0</v>
      </c>
      <c r="S630" s="115">
        <v>0</v>
      </c>
      <c r="T630" s="293">
        <f t="shared" si="1322"/>
        <v>0</v>
      </c>
      <c r="U630" s="115">
        <v>0</v>
      </c>
      <c r="V630" s="115">
        <v>0</v>
      </c>
      <c r="W630" s="293">
        <f t="shared" si="1323"/>
        <v>0</v>
      </c>
      <c r="X630" s="115">
        <v>0</v>
      </c>
      <c r="Y630" s="115">
        <v>0</v>
      </c>
      <c r="Z630" s="293">
        <f t="shared" si="1324"/>
        <v>0</v>
      </c>
      <c r="AA630" s="115">
        <v>0</v>
      </c>
      <c r="AB630" s="115">
        <v>0</v>
      </c>
      <c r="AC630" s="293">
        <f t="shared" si="1325"/>
        <v>0</v>
      </c>
      <c r="AD630" s="115">
        <f t="shared" si="1316"/>
        <v>543355</v>
      </c>
      <c r="AE630" s="115">
        <v>0</v>
      </c>
      <c r="AF630" s="293">
        <f t="shared" si="1326"/>
        <v>543355</v>
      </c>
      <c r="AG630" s="115">
        <v>543355</v>
      </c>
      <c r="AH630" s="115">
        <v>0</v>
      </c>
      <c r="AI630" s="293">
        <f t="shared" si="1327"/>
        <v>543355</v>
      </c>
      <c r="AJ630" s="115">
        <v>0</v>
      </c>
      <c r="AK630" s="115">
        <v>0</v>
      </c>
      <c r="AL630" s="115"/>
      <c r="AM630" s="293">
        <f t="shared" si="1328"/>
        <v>0</v>
      </c>
      <c r="AN630" s="115">
        <v>0</v>
      </c>
      <c r="AO630" s="115">
        <v>0</v>
      </c>
      <c r="AP630" s="293">
        <f t="shared" si="1329"/>
        <v>0</v>
      </c>
      <c r="AQ630" s="717">
        <f t="shared" si="1318"/>
        <v>0</v>
      </c>
    </row>
    <row r="631" spans="2:43" s="4" customFormat="1" ht="48" customHeight="1">
      <c r="B631" s="35" t="s">
        <v>1528</v>
      </c>
      <c r="C631" s="327" t="s">
        <v>1541</v>
      </c>
      <c r="D631" s="92"/>
      <c r="E631" s="330" t="s">
        <v>474</v>
      </c>
      <c r="F631" s="35"/>
      <c r="G631" s="71">
        <v>2024</v>
      </c>
      <c r="H631" s="71">
        <v>2024</v>
      </c>
      <c r="I631" s="115" t="s">
        <v>1590</v>
      </c>
      <c r="J631" s="115">
        <v>0</v>
      </c>
      <c r="K631" s="293">
        <f t="shared" si="1319"/>
        <v>0</v>
      </c>
      <c r="L631" s="115">
        <v>0</v>
      </c>
      <c r="M631" s="115">
        <v>0</v>
      </c>
      <c r="N631" s="293">
        <f t="shared" si="1320"/>
        <v>0</v>
      </c>
      <c r="O631" s="115">
        <v>0</v>
      </c>
      <c r="P631" s="115">
        <v>0</v>
      </c>
      <c r="Q631" s="293">
        <f t="shared" si="1321"/>
        <v>0</v>
      </c>
      <c r="R631" s="115">
        <v>0</v>
      </c>
      <c r="S631" s="115">
        <v>0</v>
      </c>
      <c r="T631" s="293">
        <f t="shared" si="1322"/>
        <v>0</v>
      </c>
      <c r="U631" s="115">
        <v>0</v>
      </c>
      <c r="V631" s="115">
        <v>0</v>
      </c>
      <c r="W631" s="293">
        <f t="shared" si="1323"/>
        <v>0</v>
      </c>
      <c r="X631" s="115">
        <v>0</v>
      </c>
      <c r="Y631" s="115">
        <v>0</v>
      </c>
      <c r="Z631" s="293">
        <f t="shared" si="1324"/>
        <v>0</v>
      </c>
      <c r="AA631" s="115">
        <v>0</v>
      </c>
      <c r="AB631" s="115">
        <v>0</v>
      </c>
      <c r="AC631" s="293">
        <f t="shared" si="1325"/>
        <v>0</v>
      </c>
      <c r="AD631" s="762">
        <v>1000000</v>
      </c>
      <c r="AE631" s="115">
        <f t="shared" ref="AE631:AE634" si="1330">J631+M631+P631+S631+V631+Y631+AB631</f>
        <v>0</v>
      </c>
      <c r="AF631" s="293">
        <f t="shared" si="1326"/>
        <v>1000000</v>
      </c>
      <c r="AG631" s="115">
        <v>1000000</v>
      </c>
      <c r="AH631" s="115">
        <v>0</v>
      </c>
      <c r="AI631" s="293">
        <f t="shared" si="1327"/>
        <v>1000000</v>
      </c>
      <c r="AJ631" s="115">
        <v>0</v>
      </c>
      <c r="AK631" s="115">
        <v>0</v>
      </c>
      <c r="AL631" s="115"/>
      <c r="AM631" s="293">
        <f t="shared" si="1328"/>
        <v>0</v>
      </c>
      <c r="AN631" s="115">
        <v>0</v>
      </c>
      <c r="AO631" s="115">
        <v>0</v>
      </c>
      <c r="AP631" s="293">
        <f t="shared" si="1329"/>
        <v>0</v>
      </c>
      <c r="AQ631" s="717">
        <f t="shared" si="1318"/>
        <v>0</v>
      </c>
    </row>
    <row r="632" spans="2:43" s="4" customFormat="1" ht="48" customHeight="1">
      <c r="B632" s="35" t="s">
        <v>1529</v>
      </c>
      <c r="C632" s="327" t="s">
        <v>1542</v>
      </c>
      <c r="D632" s="92"/>
      <c r="E632" s="330" t="s">
        <v>474</v>
      </c>
      <c r="F632" s="35"/>
      <c r="G632" s="71">
        <v>2024</v>
      </c>
      <c r="H632" s="71">
        <v>2030</v>
      </c>
      <c r="I632" s="115">
        <v>0</v>
      </c>
      <c r="J632" s="115">
        <v>0</v>
      </c>
      <c r="K632" s="293">
        <f t="shared" si="1319"/>
        <v>0</v>
      </c>
      <c r="L632" s="115">
        <v>0</v>
      </c>
      <c r="M632" s="115">
        <v>0</v>
      </c>
      <c r="N632" s="293">
        <f t="shared" si="1320"/>
        <v>0</v>
      </c>
      <c r="O632" s="115">
        <v>0</v>
      </c>
      <c r="P632" s="115">
        <v>0</v>
      </c>
      <c r="Q632" s="293">
        <f t="shared" si="1321"/>
        <v>0</v>
      </c>
      <c r="R632" s="115">
        <v>0</v>
      </c>
      <c r="S632" s="115">
        <v>0</v>
      </c>
      <c r="T632" s="293">
        <f t="shared" si="1322"/>
        <v>0</v>
      </c>
      <c r="U632" s="115">
        <v>0</v>
      </c>
      <c r="V632" s="115">
        <v>0</v>
      </c>
      <c r="W632" s="293">
        <f t="shared" si="1323"/>
        <v>0</v>
      </c>
      <c r="X632" s="115">
        <v>0</v>
      </c>
      <c r="Y632" s="115">
        <v>0</v>
      </c>
      <c r="Z632" s="293">
        <f t="shared" si="1324"/>
        <v>0</v>
      </c>
      <c r="AA632" s="115">
        <v>0</v>
      </c>
      <c r="AB632" s="115">
        <v>0</v>
      </c>
      <c r="AC632" s="293">
        <f t="shared" si="1325"/>
        <v>0</v>
      </c>
      <c r="AD632" s="115">
        <f t="shared" si="1316"/>
        <v>0</v>
      </c>
      <c r="AE632" s="115">
        <f t="shared" si="1330"/>
        <v>0</v>
      </c>
      <c r="AF632" s="293">
        <f t="shared" si="1326"/>
        <v>0</v>
      </c>
      <c r="AG632" s="115">
        <v>0</v>
      </c>
      <c r="AH632" s="115">
        <v>0</v>
      </c>
      <c r="AI632" s="293">
        <f t="shared" si="1327"/>
        <v>0</v>
      </c>
      <c r="AJ632" s="115">
        <v>0</v>
      </c>
      <c r="AK632" s="115">
        <v>0</v>
      </c>
      <c r="AL632" s="115"/>
      <c r="AM632" s="293">
        <f t="shared" si="1328"/>
        <v>0</v>
      </c>
      <c r="AN632" s="115">
        <v>0</v>
      </c>
      <c r="AO632" s="115">
        <v>0</v>
      </c>
      <c r="AP632" s="293">
        <f t="shared" si="1329"/>
        <v>0</v>
      </c>
      <c r="AQ632" s="717">
        <f t="shared" si="1318"/>
        <v>0</v>
      </c>
    </row>
    <row r="633" spans="2:43" s="4" customFormat="1" ht="48" customHeight="1">
      <c r="B633" s="210" t="s">
        <v>1530</v>
      </c>
      <c r="C633" s="287" t="s">
        <v>1544</v>
      </c>
      <c r="D633" s="217"/>
      <c r="E633" s="186" t="s">
        <v>125</v>
      </c>
      <c r="F633" s="186"/>
      <c r="G633" s="350">
        <v>2025</v>
      </c>
      <c r="H633" s="350">
        <v>2030</v>
      </c>
      <c r="I633" s="220">
        <f>SUM(I634:I634)</f>
        <v>0</v>
      </c>
      <c r="J633" s="220">
        <f>SUM(J634:J634)</f>
        <v>0</v>
      </c>
      <c r="K633" s="220">
        <f t="shared" ref="K633" si="1331">SUM(I633:J633)</f>
        <v>0</v>
      </c>
      <c r="L633" s="220">
        <f>SUM(L634:L634)</f>
        <v>543355</v>
      </c>
      <c r="M633" s="220">
        <f>SUM(M634:M634)</f>
        <v>0</v>
      </c>
      <c r="N633" s="220">
        <f t="shared" ref="N633" si="1332">SUM(L633:M633)</f>
        <v>543355</v>
      </c>
      <c r="O633" s="220">
        <f>SUM(O634:O634)</f>
        <v>543355</v>
      </c>
      <c r="P633" s="220">
        <f>SUM(P634:P634)</f>
        <v>0</v>
      </c>
      <c r="Q633" s="220">
        <f t="shared" ref="Q633" si="1333">SUM(O633:P633)</f>
        <v>543355</v>
      </c>
      <c r="R633" s="220">
        <f>SUM(R634:R634)</f>
        <v>543355</v>
      </c>
      <c r="S633" s="220">
        <f>SUM(S634:S634)</f>
        <v>0</v>
      </c>
      <c r="T633" s="220">
        <f t="shared" ref="T633" si="1334">SUM(R633:S633)</f>
        <v>543355</v>
      </c>
      <c r="U633" s="220">
        <f>SUM(U634:U634)</f>
        <v>543355</v>
      </c>
      <c r="V633" s="220">
        <f>SUM(V634:V634)</f>
        <v>0</v>
      </c>
      <c r="W633" s="220">
        <f t="shared" ref="W633:W634" si="1335">SUM(U633:V633)</f>
        <v>543355</v>
      </c>
      <c r="X633" s="220">
        <f>SUM(X634:X634)</f>
        <v>543355</v>
      </c>
      <c r="Y633" s="220">
        <f>SUM(Y634:Y634)</f>
        <v>0</v>
      </c>
      <c r="Z633" s="220">
        <f t="shared" ref="Z633:Z640" si="1336">SUM(X633:Y633)</f>
        <v>543355</v>
      </c>
      <c r="AA633" s="220">
        <f>SUM(AA634:AA634)</f>
        <v>543355</v>
      </c>
      <c r="AB633" s="220">
        <f>SUM(AB634:AB634)</f>
        <v>0</v>
      </c>
      <c r="AC633" s="220">
        <f t="shared" ref="AC633:AC640" si="1337">SUM(AA633:AB633)</f>
        <v>543355</v>
      </c>
      <c r="AD633" s="220">
        <f t="shared" ref="AD633:AD634" si="1338">I633+L633+O633+R633+U633+X633+AA633</f>
        <v>3260130</v>
      </c>
      <c r="AE633" s="220">
        <f t="shared" si="1330"/>
        <v>0</v>
      </c>
      <c r="AF633" s="220">
        <f t="shared" si="1326"/>
        <v>3260130</v>
      </c>
      <c r="AG633" s="220">
        <f>SUM(AG634:AG634)</f>
        <v>1086710</v>
      </c>
      <c r="AH633" s="220">
        <f>SUM(AH634:AH634)</f>
        <v>0</v>
      </c>
      <c r="AI633" s="220">
        <f t="shared" si="1327"/>
        <v>1086710</v>
      </c>
      <c r="AJ633" s="220">
        <f>SUM(AJ634:AJ634)</f>
        <v>0</v>
      </c>
      <c r="AK633" s="220">
        <f>SUM(AK634:AK634)</f>
        <v>0</v>
      </c>
      <c r="AL633" s="220"/>
      <c r="AM633" s="220">
        <f t="shared" ref="AM633" si="1339">SUM(AJ633:AL633)</f>
        <v>0</v>
      </c>
      <c r="AN633" s="220">
        <f>SUM(AN634:AN634)</f>
        <v>2173420</v>
      </c>
      <c r="AO633" s="220">
        <f>SUM(AO634:AO634)</f>
        <v>0</v>
      </c>
      <c r="AP633" s="220">
        <f t="shared" si="1329"/>
        <v>2173420</v>
      </c>
      <c r="AQ633" s="461">
        <f t="shared" si="1318"/>
        <v>0</v>
      </c>
    </row>
    <row r="634" spans="2:43" s="4" customFormat="1" ht="48" customHeight="1">
      <c r="B634" s="35" t="s">
        <v>1531</v>
      </c>
      <c r="C634" s="572" t="s">
        <v>1545</v>
      </c>
      <c r="D634" s="92"/>
      <c r="E634" s="1" t="s">
        <v>125</v>
      </c>
      <c r="F634" s="1"/>
      <c r="G634" s="71">
        <v>2025</v>
      </c>
      <c r="H634" s="71">
        <v>2030</v>
      </c>
      <c r="I634" s="115">
        <v>0</v>
      </c>
      <c r="J634" s="115">
        <v>0</v>
      </c>
      <c r="K634" s="293">
        <f>SUM(I634:J634)</f>
        <v>0</v>
      </c>
      <c r="L634" s="115">
        <v>543355</v>
      </c>
      <c r="M634" s="115">
        <v>0</v>
      </c>
      <c r="N634" s="293">
        <f>SUM(L634:M634)</f>
        <v>543355</v>
      </c>
      <c r="O634" s="115">
        <v>543355</v>
      </c>
      <c r="P634" s="115">
        <v>0</v>
      </c>
      <c r="Q634" s="293">
        <f>SUM(O634:P634)</f>
        <v>543355</v>
      </c>
      <c r="R634" s="115">
        <v>543355</v>
      </c>
      <c r="S634" s="115">
        <v>0</v>
      </c>
      <c r="T634" s="293">
        <f>SUM(R634:S634)</f>
        <v>543355</v>
      </c>
      <c r="U634" s="115">
        <v>543355</v>
      </c>
      <c r="V634" s="115">
        <v>0</v>
      </c>
      <c r="W634" s="293">
        <f t="shared" si="1335"/>
        <v>543355</v>
      </c>
      <c r="X634" s="115">
        <v>543355</v>
      </c>
      <c r="Y634" s="115">
        <v>0</v>
      </c>
      <c r="Z634" s="293">
        <f t="shared" si="1336"/>
        <v>543355</v>
      </c>
      <c r="AA634" s="115">
        <v>543355</v>
      </c>
      <c r="AB634" s="115">
        <v>0</v>
      </c>
      <c r="AC634" s="293">
        <f t="shared" si="1337"/>
        <v>543355</v>
      </c>
      <c r="AD634" s="115">
        <f t="shared" si="1338"/>
        <v>3260130</v>
      </c>
      <c r="AE634" s="115">
        <f t="shared" si="1330"/>
        <v>0</v>
      </c>
      <c r="AF634" s="293">
        <f>AD634+AE634</f>
        <v>3260130</v>
      </c>
      <c r="AG634" s="115">
        <f>543355*2</f>
        <v>1086710</v>
      </c>
      <c r="AH634" s="115">
        <v>0</v>
      </c>
      <c r="AI634" s="293">
        <f>SUM(AG634:AH634)</f>
        <v>1086710</v>
      </c>
      <c r="AJ634" s="115">
        <v>0</v>
      </c>
      <c r="AK634" s="115">
        <v>0</v>
      </c>
      <c r="AL634" s="115"/>
      <c r="AM634" s="293">
        <f t="shared" ref="AM634" si="1340">AJ634+AK634</f>
        <v>0</v>
      </c>
      <c r="AN634" s="115">
        <f>543355*4</f>
        <v>2173420</v>
      </c>
      <c r="AO634" s="115">
        <v>0</v>
      </c>
      <c r="AP634" s="293">
        <f t="shared" si="1329"/>
        <v>2173420</v>
      </c>
      <c r="AQ634" s="717">
        <f t="shared" si="1318"/>
        <v>0</v>
      </c>
    </row>
    <row r="635" spans="2:43" s="4" customFormat="1" ht="48" customHeight="1">
      <c r="B635" s="438" t="s">
        <v>1546</v>
      </c>
      <c r="C635" s="287" t="s">
        <v>1552</v>
      </c>
      <c r="D635" s="287"/>
      <c r="E635" s="350" t="s">
        <v>474</v>
      </c>
      <c r="F635" s="210"/>
      <c r="G635" s="741">
        <v>2024</v>
      </c>
      <c r="H635" s="741">
        <v>2030</v>
      </c>
      <c r="I635" s="731">
        <f>SUM(I636:I636)</f>
        <v>271678</v>
      </c>
      <c r="J635" s="731">
        <f>SUM(J636:J636)</f>
        <v>0</v>
      </c>
      <c r="K635" s="731">
        <f t="shared" ref="K635" si="1341">SUM(I635:J635)</f>
        <v>271678</v>
      </c>
      <c r="L635" s="731">
        <f>SUM(L636:L636)</f>
        <v>271678</v>
      </c>
      <c r="M635" s="731">
        <f>SUM(M636:M636)</f>
        <v>0</v>
      </c>
      <c r="N635" s="731">
        <f t="shared" ref="N635" si="1342">SUM(L635:M635)</f>
        <v>271678</v>
      </c>
      <c r="O635" s="731">
        <f>SUM(O636:O636)</f>
        <v>271678</v>
      </c>
      <c r="P635" s="731">
        <f>SUM(P636:P636)</f>
        <v>0</v>
      </c>
      <c r="Q635" s="220">
        <f t="shared" ref="Q635" si="1343">SUM(O635:P635)</f>
        <v>271678</v>
      </c>
      <c r="R635" s="220">
        <f>SUM(R636:R636)</f>
        <v>271678</v>
      </c>
      <c r="S635" s="220">
        <f>SUM(S636:S636)</f>
        <v>0</v>
      </c>
      <c r="T635" s="220">
        <f t="shared" ref="T635" si="1344">SUM(R635:S635)</f>
        <v>271678</v>
      </c>
      <c r="U635" s="220">
        <f>SUM(U636:U636)</f>
        <v>271678</v>
      </c>
      <c r="V635" s="220">
        <f>SUM(V636:V636)</f>
        <v>0</v>
      </c>
      <c r="W635" s="220">
        <f t="shared" ref="W635:W640" si="1345">SUM(U635:V635)</f>
        <v>271678</v>
      </c>
      <c r="X635" s="220">
        <f>SUM(X636:X636)</f>
        <v>271678</v>
      </c>
      <c r="Y635" s="220">
        <f>SUM(Y636:Y636)</f>
        <v>0</v>
      </c>
      <c r="Z635" s="220">
        <f t="shared" si="1336"/>
        <v>271678</v>
      </c>
      <c r="AA635" s="220">
        <f>SUM(AA636:AA636)</f>
        <v>271678</v>
      </c>
      <c r="AB635" s="220">
        <f>SUM(AB636:AB636)</f>
        <v>0</v>
      </c>
      <c r="AC635" s="220">
        <f t="shared" si="1337"/>
        <v>271678</v>
      </c>
      <c r="AD635" s="220">
        <f t="shared" ref="AD635:AD640" si="1346">I635+L635+O635+R635+U635+X635+AA635</f>
        <v>1901746</v>
      </c>
      <c r="AE635" s="220">
        <f t="shared" ref="AE635:AE640" si="1347">J635+M635+P635+S635+V635+Y635+AB635</f>
        <v>0</v>
      </c>
      <c r="AF635" s="220">
        <f t="shared" ref="AF635" si="1348">SUM(AD635:AE635)</f>
        <v>1901746</v>
      </c>
      <c r="AG635" s="220">
        <f>SUM(AG636:AG636)</f>
        <v>815034</v>
      </c>
      <c r="AH635" s="220">
        <f>SUM(AH636:AH636)</f>
        <v>0</v>
      </c>
      <c r="AI635" s="220">
        <f t="shared" ref="AI635" si="1349">SUM(AG635:AH635)</f>
        <v>815034</v>
      </c>
      <c r="AJ635" s="220">
        <f>SUM(AJ636:AJ636)</f>
        <v>0</v>
      </c>
      <c r="AK635" s="220">
        <f>SUM(AK636:AK636)</f>
        <v>0</v>
      </c>
      <c r="AL635" s="220"/>
      <c r="AM635" s="220">
        <f t="shared" ref="AM635" si="1350">SUM(AJ635:AL635)</f>
        <v>0</v>
      </c>
      <c r="AN635" s="220">
        <f>SUM(AN636:AN636)</f>
        <v>1086712</v>
      </c>
      <c r="AO635" s="220">
        <f>SUM(AO636:AO636)</f>
        <v>0</v>
      </c>
      <c r="AP635" s="220">
        <f t="shared" ref="AP635:AP640" si="1351">SUM(AN635:AO635)</f>
        <v>1086712</v>
      </c>
      <c r="AQ635" s="461">
        <f t="shared" ref="AQ635:AQ640" si="1352">SUM(AP635+AM635+AI635)-AF635</f>
        <v>0</v>
      </c>
    </row>
    <row r="636" spans="2:43" s="4" customFormat="1" ht="48" customHeight="1">
      <c r="B636" s="694" t="s">
        <v>1547</v>
      </c>
      <c r="C636" s="572" t="s">
        <v>1553</v>
      </c>
      <c r="D636" s="423"/>
      <c r="E636" s="278" t="s">
        <v>474</v>
      </c>
      <c r="F636" s="35"/>
      <c r="G636" s="447">
        <v>2024</v>
      </c>
      <c r="H636" s="447">
        <v>2030</v>
      </c>
      <c r="I636" s="115">
        <v>271678</v>
      </c>
      <c r="J636" s="115">
        <v>0</v>
      </c>
      <c r="K636" s="293">
        <f>SUM(I636:J636)</f>
        <v>271678</v>
      </c>
      <c r="L636" s="115">
        <v>271678</v>
      </c>
      <c r="M636" s="115">
        <v>0</v>
      </c>
      <c r="N636" s="293">
        <f>SUM(L636:M636)</f>
        <v>271678</v>
      </c>
      <c r="O636" s="115">
        <v>271678</v>
      </c>
      <c r="P636" s="115">
        <v>0</v>
      </c>
      <c r="Q636" s="293">
        <f>SUM(O636:P636)</f>
        <v>271678</v>
      </c>
      <c r="R636" s="115">
        <v>271678</v>
      </c>
      <c r="S636" s="115">
        <v>0</v>
      </c>
      <c r="T636" s="293">
        <f>SUM(R636:S636)</f>
        <v>271678</v>
      </c>
      <c r="U636" s="115">
        <v>271678</v>
      </c>
      <c r="V636" s="115">
        <v>0</v>
      </c>
      <c r="W636" s="293">
        <f t="shared" si="1345"/>
        <v>271678</v>
      </c>
      <c r="X636" s="115">
        <v>271678</v>
      </c>
      <c r="Y636" s="115">
        <v>0</v>
      </c>
      <c r="Z636" s="293">
        <f t="shared" si="1336"/>
        <v>271678</v>
      </c>
      <c r="AA636" s="115">
        <v>271678</v>
      </c>
      <c r="AB636" s="115">
        <v>0</v>
      </c>
      <c r="AC636" s="293">
        <f t="shared" si="1337"/>
        <v>271678</v>
      </c>
      <c r="AD636" s="115">
        <f t="shared" si="1346"/>
        <v>1901746</v>
      </c>
      <c r="AE636" s="115">
        <f t="shared" si="1347"/>
        <v>0</v>
      </c>
      <c r="AF636" s="293">
        <f>AD636+AE636</f>
        <v>1901746</v>
      </c>
      <c r="AG636" s="115">
        <f>271678*3</f>
        <v>815034</v>
      </c>
      <c r="AH636" s="115">
        <v>0</v>
      </c>
      <c r="AI636" s="293">
        <f>SUM(AG636:AH636)</f>
        <v>815034</v>
      </c>
      <c r="AJ636" s="115">
        <v>0</v>
      </c>
      <c r="AK636" s="115">
        <v>0</v>
      </c>
      <c r="AL636" s="115"/>
      <c r="AM636" s="293">
        <f t="shared" ref="AM636" si="1353">AJ636+AK636</f>
        <v>0</v>
      </c>
      <c r="AN636" s="115">
        <f>271678*4</f>
        <v>1086712</v>
      </c>
      <c r="AO636" s="115">
        <v>0</v>
      </c>
      <c r="AP636" s="293">
        <f t="shared" si="1351"/>
        <v>1086712</v>
      </c>
      <c r="AQ636" s="717">
        <f t="shared" si="1352"/>
        <v>0</v>
      </c>
    </row>
    <row r="637" spans="2:43" s="4" customFormat="1" ht="48" customHeight="1">
      <c r="B637" s="438" t="s">
        <v>1548</v>
      </c>
      <c r="C637" s="287" t="s">
        <v>1554</v>
      </c>
      <c r="D637" s="287"/>
      <c r="E637" s="350" t="s">
        <v>541</v>
      </c>
      <c r="F637" s="210"/>
      <c r="G637" s="350">
        <v>2024</v>
      </c>
      <c r="H637" s="350">
        <v>2030</v>
      </c>
      <c r="I637" s="220">
        <f>SUM(I638:I638)</f>
        <v>543355</v>
      </c>
      <c r="J637" s="220">
        <f>SUM(J638:J638)</f>
        <v>0</v>
      </c>
      <c r="K637" s="220">
        <f t="shared" ref="K637" si="1354">SUM(I637:J637)</f>
        <v>543355</v>
      </c>
      <c r="L637" s="220">
        <f>SUM(L638:L638)</f>
        <v>543355</v>
      </c>
      <c r="M637" s="220">
        <f>SUM(M638:M638)</f>
        <v>0</v>
      </c>
      <c r="N637" s="220">
        <f t="shared" ref="N637" si="1355">SUM(L637:M637)</f>
        <v>543355</v>
      </c>
      <c r="O637" s="220">
        <f>SUM(O638:O638)</f>
        <v>543355</v>
      </c>
      <c r="P637" s="220">
        <f>SUM(P638:P638)</f>
        <v>0</v>
      </c>
      <c r="Q637" s="220">
        <f t="shared" ref="Q637" si="1356">SUM(O637:P637)</f>
        <v>543355</v>
      </c>
      <c r="R637" s="220">
        <f>SUM(R638:R638)</f>
        <v>543355</v>
      </c>
      <c r="S637" s="220">
        <f>SUM(S638:S638)</f>
        <v>0</v>
      </c>
      <c r="T637" s="220">
        <f t="shared" ref="T637" si="1357">SUM(R637:S637)</f>
        <v>543355</v>
      </c>
      <c r="U637" s="220">
        <f>SUM(U638:U638)</f>
        <v>543355</v>
      </c>
      <c r="V637" s="220">
        <f>SUM(V638:V638)</f>
        <v>0</v>
      </c>
      <c r="W637" s="220">
        <f t="shared" si="1345"/>
        <v>543355</v>
      </c>
      <c r="X637" s="220">
        <f>SUM(X638:X638)</f>
        <v>543355</v>
      </c>
      <c r="Y637" s="220">
        <f>SUM(Y638:Y638)</f>
        <v>0</v>
      </c>
      <c r="Z637" s="220">
        <f t="shared" si="1336"/>
        <v>543355</v>
      </c>
      <c r="AA637" s="220">
        <f>SUM(AA638:AA638)</f>
        <v>543355</v>
      </c>
      <c r="AB637" s="220">
        <f>SUM(AB638:AB638)</f>
        <v>0</v>
      </c>
      <c r="AC637" s="220">
        <f t="shared" si="1337"/>
        <v>543355</v>
      </c>
      <c r="AD637" s="220">
        <f t="shared" si="1346"/>
        <v>3803485</v>
      </c>
      <c r="AE637" s="220">
        <f t="shared" si="1347"/>
        <v>0</v>
      </c>
      <c r="AF637" s="220">
        <f t="shared" ref="AF637" si="1358">SUM(AD637:AE637)</f>
        <v>3803485</v>
      </c>
      <c r="AG637" s="220">
        <f>SUM(AG638:AG638)</f>
        <v>1630065</v>
      </c>
      <c r="AH637" s="220">
        <f>SUM(AH638:AH638)</f>
        <v>0</v>
      </c>
      <c r="AI637" s="220">
        <f t="shared" ref="AI637" si="1359">SUM(AG637:AH637)</f>
        <v>1630065</v>
      </c>
      <c r="AJ637" s="220">
        <f>SUM(AJ638:AJ638)</f>
        <v>0</v>
      </c>
      <c r="AK637" s="220">
        <f>SUM(AK638:AK638)</f>
        <v>0</v>
      </c>
      <c r="AL637" s="220"/>
      <c r="AM637" s="220">
        <f t="shared" ref="AM637" si="1360">SUM(AJ637:AL637)</f>
        <v>0</v>
      </c>
      <c r="AN637" s="220">
        <f>SUM(AN638:AN638)</f>
        <v>2173420</v>
      </c>
      <c r="AO637" s="220">
        <f>SUM(AO638:AO638)</f>
        <v>0</v>
      </c>
      <c r="AP637" s="220">
        <f t="shared" si="1351"/>
        <v>2173420</v>
      </c>
      <c r="AQ637" s="461">
        <f t="shared" si="1352"/>
        <v>0</v>
      </c>
    </row>
    <row r="638" spans="2:43" s="4" customFormat="1" ht="48" customHeight="1">
      <c r="B638" s="694" t="s">
        <v>1549</v>
      </c>
      <c r="C638" s="572" t="s">
        <v>1555</v>
      </c>
      <c r="D638" s="423"/>
      <c r="E638" s="278" t="s">
        <v>541</v>
      </c>
      <c r="F638" s="35"/>
      <c r="G638" s="71">
        <v>2024</v>
      </c>
      <c r="H638" s="71">
        <v>2030</v>
      </c>
      <c r="I638" s="115">
        <v>543355</v>
      </c>
      <c r="J638" s="115">
        <v>0</v>
      </c>
      <c r="K638" s="293">
        <f>SUM(I638:J638)</f>
        <v>543355</v>
      </c>
      <c r="L638" s="115">
        <v>543355</v>
      </c>
      <c r="M638" s="115">
        <v>0</v>
      </c>
      <c r="N638" s="293">
        <f>SUM(L638:M638)</f>
        <v>543355</v>
      </c>
      <c r="O638" s="115">
        <v>543355</v>
      </c>
      <c r="P638" s="115">
        <v>0</v>
      </c>
      <c r="Q638" s="293">
        <f>SUM(O638:P638)</f>
        <v>543355</v>
      </c>
      <c r="R638" s="115">
        <v>543355</v>
      </c>
      <c r="S638" s="115">
        <v>0</v>
      </c>
      <c r="T638" s="293">
        <f>SUM(R638:S638)</f>
        <v>543355</v>
      </c>
      <c r="U638" s="115">
        <v>543355</v>
      </c>
      <c r="V638" s="115">
        <v>0</v>
      </c>
      <c r="W638" s="293">
        <f t="shared" si="1345"/>
        <v>543355</v>
      </c>
      <c r="X638" s="115">
        <v>543355</v>
      </c>
      <c r="Y638" s="115">
        <v>0</v>
      </c>
      <c r="Z638" s="293">
        <f t="shared" si="1336"/>
        <v>543355</v>
      </c>
      <c r="AA638" s="115">
        <v>543355</v>
      </c>
      <c r="AB638" s="115">
        <v>0</v>
      </c>
      <c r="AC638" s="293">
        <f t="shared" si="1337"/>
        <v>543355</v>
      </c>
      <c r="AD638" s="115">
        <f t="shared" si="1346"/>
        <v>3803485</v>
      </c>
      <c r="AE638" s="115">
        <f t="shared" si="1347"/>
        <v>0</v>
      </c>
      <c r="AF638" s="293">
        <f>AD638+AE638</f>
        <v>3803485</v>
      </c>
      <c r="AG638" s="115">
        <f>543355*3</f>
        <v>1630065</v>
      </c>
      <c r="AH638" s="115">
        <v>0</v>
      </c>
      <c r="AI638" s="293">
        <f>SUM(AG638:AH638)</f>
        <v>1630065</v>
      </c>
      <c r="AJ638" s="115">
        <v>0</v>
      </c>
      <c r="AK638" s="115">
        <v>0</v>
      </c>
      <c r="AL638" s="115"/>
      <c r="AM638" s="293">
        <f t="shared" ref="AM638" si="1361">AJ638+AK638</f>
        <v>0</v>
      </c>
      <c r="AN638" s="115">
        <f>543355*4</f>
        <v>2173420</v>
      </c>
      <c r="AO638" s="115">
        <v>0</v>
      </c>
      <c r="AP638" s="293">
        <f t="shared" si="1351"/>
        <v>2173420</v>
      </c>
      <c r="AQ638" s="717">
        <f t="shared" si="1352"/>
        <v>0</v>
      </c>
    </row>
    <row r="639" spans="2:43" s="4" customFormat="1" ht="48" customHeight="1">
      <c r="B639" s="210" t="s">
        <v>1550</v>
      </c>
      <c r="C639" s="287" t="s">
        <v>1556</v>
      </c>
      <c r="D639" s="217"/>
      <c r="E639" s="186" t="s">
        <v>370</v>
      </c>
      <c r="F639" s="210"/>
      <c r="G639" s="350">
        <v>2024</v>
      </c>
      <c r="H639" s="350">
        <v>2030</v>
      </c>
      <c r="I639" s="220">
        <f>SUM(I640:I640)</f>
        <v>0</v>
      </c>
      <c r="J639" s="220">
        <f>SUM(J640:J640)</f>
        <v>0</v>
      </c>
      <c r="K639" s="220">
        <f t="shared" ref="K639" si="1362">SUM(I639:J639)</f>
        <v>0</v>
      </c>
      <c r="L639" s="220">
        <f>SUM(L640:L640)</f>
        <v>0</v>
      </c>
      <c r="M639" s="220">
        <f>SUM(M640:M640)</f>
        <v>0</v>
      </c>
      <c r="N639" s="220">
        <f t="shared" ref="N639" si="1363">SUM(L639:M639)</f>
        <v>0</v>
      </c>
      <c r="O639" s="220">
        <f>SUM(O640:O640)</f>
        <v>0</v>
      </c>
      <c r="P639" s="220">
        <f>SUM(P640:P640)</f>
        <v>0</v>
      </c>
      <c r="Q639" s="220">
        <f t="shared" ref="Q639" si="1364">SUM(O639:P639)</f>
        <v>0</v>
      </c>
      <c r="R639" s="220">
        <f>SUM(R640:R640)</f>
        <v>0</v>
      </c>
      <c r="S639" s="220">
        <f>SUM(S640:S640)</f>
        <v>0</v>
      </c>
      <c r="T639" s="220">
        <f t="shared" ref="T639" si="1365">SUM(R639:S639)</f>
        <v>0</v>
      </c>
      <c r="U639" s="220">
        <f>SUM(U640:U640)</f>
        <v>0</v>
      </c>
      <c r="V639" s="220">
        <f>SUM(V640:V640)</f>
        <v>0</v>
      </c>
      <c r="W639" s="220">
        <f t="shared" si="1345"/>
        <v>0</v>
      </c>
      <c r="X639" s="220">
        <f>SUM(X640:X640)</f>
        <v>0</v>
      </c>
      <c r="Y639" s="220">
        <f>SUM(Y640:Y640)</f>
        <v>0</v>
      </c>
      <c r="Z639" s="220">
        <f t="shared" si="1336"/>
        <v>0</v>
      </c>
      <c r="AA639" s="220">
        <f>SUM(AA640:AA640)</f>
        <v>0</v>
      </c>
      <c r="AB639" s="220">
        <f>SUM(AB640:AB640)</f>
        <v>0</v>
      </c>
      <c r="AC639" s="220">
        <f t="shared" si="1337"/>
        <v>0</v>
      </c>
      <c r="AD639" s="220">
        <f t="shared" si="1346"/>
        <v>0</v>
      </c>
      <c r="AE639" s="220">
        <f t="shared" si="1347"/>
        <v>0</v>
      </c>
      <c r="AF639" s="220">
        <f t="shared" ref="AF639" si="1366">SUM(AD639:AE639)</f>
        <v>0</v>
      </c>
      <c r="AG639" s="220">
        <f>SUM(AG640:AG640)</f>
        <v>0</v>
      </c>
      <c r="AH639" s="220">
        <f>SUM(AH640:AH640)</f>
        <v>0</v>
      </c>
      <c r="AI639" s="220">
        <f t="shared" ref="AI639" si="1367">SUM(AG639:AH639)</f>
        <v>0</v>
      </c>
      <c r="AJ639" s="220">
        <f>SUM(AJ640:AJ640)</f>
        <v>0</v>
      </c>
      <c r="AK639" s="220">
        <f>SUM(AK640:AK640)</f>
        <v>0</v>
      </c>
      <c r="AL639" s="220"/>
      <c r="AM639" s="220">
        <f t="shared" ref="AM639" si="1368">SUM(AJ639:AL639)</f>
        <v>0</v>
      </c>
      <c r="AN639" s="220">
        <f>SUM(AN640:AN640)</f>
        <v>0</v>
      </c>
      <c r="AO639" s="220">
        <f>SUM(AO640:AO640)</f>
        <v>0</v>
      </c>
      <c r="AP639" s="220">
        <f t="shared" si="1351"/>
        <v>0</v>
      </c>
      <c r="AQ639" s="461">
        <f t="shared" si="1352"/>
        <v>0</v>
      </c>
    </row>
    <row r="640" spans="2:43" s="4" customFormat="1" ht="48" customHeight="1">
      <c r="B640" s="35" t="s">
        <v>1551</v>
      </c>
      <c r="C640" s="572" t="s">
        <v>1557</v>
      </c>
      <c r="D640" s="92"/>
      <c r="E640" s="1" t="s">
        <v>370</v>
      </c>
      <c r="F640" s="35"/>
      <c r="G640" s="71">
        <v>2024</v>
      </c>
      <c r="H640" s="71">
        <v>2030</v>
      </c>
      <c r="I640" s="115">
        <v>0</v>
      </c>
      <c r="J640" s="115">
        <v>0</v>
      </c>
      <c r="K640" s="293">
        <f>SUM(I640:J640)</f>
        <v>0</v>
      </c>
      <c r="L640" s="115">
        <v>0</v>
      </c>
      <c r="M640" s="115">
        <v>0</v>
      </c>
      <c r="N640" s="293">
        <f>SUM(L640:M640)</f>
        <v>0</v>
      </c>
      <c r="O640" s="115">
        <v>0</v>
      </c>
      <c r="P640" s="115">
        <v>0</v>
      </c>
      <c r="Q640" s="293">
        <f>SUM(O640:P640)</f>
        <v>0</v>
      </c>
      <c r="R640" s="115">
        <v>0</v>
      </c>
      <c r="S640" s="115">
        <v>0</v>
      </c>
      <c r="T640" s="293">
        <f>SUM(R640:S640)</f>
        <v>0</v>
      </c>
      <c r="U640" s="115">
        <v>0</v>
      </c>
      <c r="V640" s="115">
        <v>0</v>
      </c>
      <c r="W640" s="293">
        <f t="shared" si="1345"/>
        <v>0</v>
      </c>
      <c r="X640" s="115">
        <v>0</v>
      </c>
      <c r="Y640" s="115">
        <v>0</v>
      </c>
      <c r="Z640" s="293">
        <f t="shared" si="1336"/>
        <v>0</v>
      </c>
      <c r="AA640" s="115">
        <v>0</v>
      </c>
      <c r="AB640" s="115">
        <v>0</v>
      </c>
      <c r="AC640" s="293">
        <f t="shared" si="1337"/>
        <v>0</v>
      </c>
      <c r="AD640" s="115">
        <f t="shared" si="1346"/>
        <v>0</v>
      </c>
      <c r="AE640" s="115">
        <f t="shared" si="1347"/>
        <v>0</v>
      </c>
      <c r="AF640" s="293">
        <f>AD640+AE640</f>
        <v>0</v>
      </c>
      <c r="AG640" s="115">
        <v>0</v>
      </c>
      <c r="AH640" s="115">
        <v>0</v>
      </c>
      <c r="AI640" s="293">
        <f>SUM(AG640:AH640)</f>
        <v>0</v>
      </c>
      <c r="AJ640" s="115">
        <v>0</v>
      </c>
      <c r="AK640" s="115">
        <v>0</v>
      </c>
      <c r="AL640" s="115"/>
      <c r="AM640" s="293">
        <f t="shared" ref="AM640" si="1369">AJ640+AK640</f>
        <v>0</v>
      </c>
      <c r="AN640" s="115">
        <v>0</v>
      </c>
      <c r="AO640" s="115">
        <v>0</v>
      </c>
      <c r="AP640" s="293">
        <f t="shared" si="1351"/>
        <v>0</v>
      </c>
      <c r="AQ640" s="717">
        <f t="shared" si="1352"/>
        <v>0</v>
      </c>
    </row>
    <row r="641" spans="2:45" s="4" customFormat="1" ht="48" customHeight="1" thickBot="1">
      <c r="B641" s="210"/>
      <c r="C641" s="237" t="s">
        <v>1558</v>
      </c>
      <c r="D641" s="217"/>
      <c r="E641" s="210"/>
      <c r="F641" s="210"/>
      <c r="G641" s="210"/>
      <c r="H641" s="210"/>
      <c r="I641" s="238">
        <f>SUM(I623,I628,I633,I635,I637,I639)</f>
        <v>5558388</v>
      </c>
      <c r="J641" s="238">
        <f t="shared" ref="J641:AQ641" si="1370">SUM(J623,J628,J633,J635,J637,J639)</f>
        <v>0</v>
      </c>
      <c r="K641" s="238">
        <f t="shared" si="1370"/>
        <v>5558388</v>
      </c>
      <c r="L641" s="238">
        <f t="shared" si="1370"/>
        <v>2558388</v>
      </c>
      <c r="M641" s="238">
        <f t="shared" si="1370"/>
        <v>0</v>
      </c>
      <c r="N641" s="238">
        <f t="shared" si="1370"/>
        <v>2558388</v>
      </c>
      <c r="O641" s="238">
        <f t="shared" si="1370"/>
        <v>1958388</v>
      </c>
      <c r="P641" s="238">
        <f t="shared" si="1370"/>
        <v>0</v>
      </c>
      <c r="Q641" s="238">
        <f t="shared" si="1370"/>
        <v>1958388</v>
      </c>
      <c r="R641" s="238">
        <f t="shared" si="1370"/>
        <v>1958388</v>
      </c>
      <c r="S641" s="238">
        <f t="shared" si="1370"/>
        <v>0</v>
      </c>
      <c r="T641" s="238">
        <f t="shared" si="1370"/>
        <v>1958388</v>
      </c>
      <c r="U641" s="238">
        <f t="shared" si="1370"/>
        <v>1958388</v>
      </c>
      <c r="V641" s="238">
        <f t="shared" si="1370"/>
        <v>0</v>
      </c>
      <c r="W641" s="238">
        <f t="shared" si="1370"/>
        <v>1958388</v>
      </c>
      <c r="X641" s="238">
        <f t="shared" si="1370"/>
        <v>1958388</v>
      </c>
      <c r="Y641" s="238">
        <f t="shared" si="1370"/>
        <v>0</v>
      </c>
      <c r="Z641" s="238">
        <f t="shared" si="1370"/>
        <v>1958388</v>
      </c>
      <c r="AA641" s="238">
        <f t="shared" si="1370"/>
        <v>1958388</v>
      </c>
      <c r="AB641" s="238">
        <f t="shared" si="1370"/>
        <v>0</v>
      </c>
      <c r="AC641" s="238">
        <f t="shared" si="1370"/>
        <v>1958388</v>
      </c>
      <c r="AD641" s="238">
        <f t="shared" si="1370"/>
        <v>17908716</v>
      </c>
      <c r="AE641" s="417">
        <f t="shared" si="1370"/>
        <v>0</v>
      </c>
      <c r="AF641" s="417">
        <f t="shared" si="1370"/>
        <v>17908716</v>
      </c>
      <c r="AG641" s="417">
        <f t="shared" si="1370"/>
        <v>11075164</v>
      </c>
      <c r="AH641" s="417">
        <f t="shared" si="1370"/>
        <v>0</v>
      </c>
      <c r="AI641" s="417">
        <f t="shared" si="1370"/>
        <v>11075164</v>
      </c>
      <c r="AJ641" s="417">
        <f t="shared" si="1370"/>
        <v>0</v>
      </c>
      <c r="AK641" s="417">
        <f t="shared" si="1370"/>
        <v>0</v>
      </c>
      <c r="AL641" s="417"/>
      <c r="AM641" s="417">
        <f t="shared" si="1370"/>
        <v>0</v>
      </c>
      <c r="AN641" s="417">
        <f t="shared" si="1370"/>
        <v>7833552</v>
      </c>
      <c r="AO641" s="417">
        <f t="shared" si="1370"/>
        <v>0</v>
      </c>
      <c r="AP641" s="417">
        <f t="shared" si="1370"/>
        <v>7833552</v>
      </c>
      <c r="AQ641" s="418">
        <f t="shared" si="1370"/>
        <v>1000000</v>
      </c>
    </row>
    <row r="642" spans="2:45" s="4" customFormat="1" ht="47.25" customHeight="1" thickBot="1">
      <c r="B642" s="711"/>
      <c r="C642" s="873" t="s">
        <v>1509</v>
      </c>
      <c r="D642" s="874"/>
      <c r="E642" s="413"/>
      <c r="F642" s="413"/>
      <c r="G642" s="413"/>
      <c r="H642" s="413"/>
      <c r="I642" s="418">
        <f>SUM(I562,I584,I620,I641)</f>
        <v>16717360</v>
      </c>
      <c r="J642" s="418">
        <f t="shared" ref="J642:AQ642" si="1371">SUM(J562,J584,J620,J641)</f>
        <v>0</v>
      </c>
      <c r="K642" s="418">
        <f t="shared" si="1371"/>
        <v>16717360</v>
      </c>
      <c r="L642" s="239">
        <f t="shared" si="1371"/>
        <v>26276009</v>
      </c>
      <c r="M642" s="239">
        <f t="shared" si="1371"/>
        <v>0</v>
      </c>
      <c r="N642" s="239">
        <f t="shared" si="1371"/>
        <v>26276009</v>
      </c>
      <c r="O642" s="239">
        <f t="shared" si="1371"/>
        <v>22189299</v>
      </c>
      <c r="P642" s="239">
        <f t="shared" si="1371"/>
        <v>184000000</v>
      </c>
      <c r="Q642" s="239">
        <f t="shared" si="1371"/>
        <v>206189299</v>
      </c>
      <c r="R642" s="239">
        <f t="shared" si="1371"/>
        <v>22902589</v>
      </c>
      <c r="S642" s="239">
        <f t="shared" si="1371"/>
        <v>0</v>
      </c>
      <c r="T642" s="239">
        <f t="shared" si="1371"/>
        <v>22902589</v>
      </c>
      <c r="U642" s="239">
        <f t="shared" si="1371"/>
        <v>20368304.767999999</v>
      </c>
      <c r="V642" s="239">
        <f t="shared" si="1371"/>
        <v>0</v>
      </c>
      <c r="W642" s="239">
        <f t="shared" si="1371"/>
        <v>20559234</v>
      </c>
      <c r="X642" s="239">
        <f t="shared" si="1371"/>
        <v>21815879</v>
      </c>
      <c r="Y642" s="239">
        <f t="shared" si="1371"/>
        <v>0</v>
      </c>
      <c r="Z642" s="239">
        <f t="shared" si="1371"/>
        <v>21815879</v>
      </c>
      <c r="AA642" s="239">
        <f t="shared" si="1371"/>
        <v>20015879</v>
      </c>
      <c r="AB642" s="239">
        <f t="shared" si="1371"/>
        <v>0</v>
      </c>
      <c r="AC642" s="239">
        <f t="shared" si="1371"/>
        <v>20015879</v>
      </c>
      <c r="AD642" s="239">
        <f t="shared" si="1371"/>
        <v>150476249</v>
      </c>
      <c r="AE642" s="321">
        <f t="shared" si="1371"/>
        <v>184000000</v>
      </c>
      <c r="AF642" s="321">
        <f t="shared" si="1371"/>
        <v>334476249</v>
      </c>
      <c r="AG642" s="321">
        <f t="shared" si="1371"/>
        <v>64382668</v>
      </c>
      <c r="AH642" s="321">
        <f t="shared" si="1371"/>
        <v>0</v>
      </c>
      <c r="AI642" s="321">
        <f t="shared" si="1371"/>
        <v>64382668</v>
      </c>
      <c r="AJ642" s="321">
        <f t="shared" si="1371"/>
        <v>0</v>
      </c>
      <c r="AK642" s="321">
        <f t="shared" si="1371"/>
        <v>0</v>
      </c>
      <c r="AL642" s="321">
        <f t="shared" si="1371"/>
        <v>0</v>
      </c>
      <c r="AM642" s="321">
        <f t="shared" si="1371"/>
        <v>0</v>
      </c>
      <c r="AN642" s="321">
        <f t="shared" si="1371"/>
        <v>81693581</v>
      </c>
      <c r="AO642" s="321">
        <f t="shared" si="1371"/>
        <v>0</v>
      </c>
      <c r="AP642" s="321">
        <f t="shared" si="1371"/>
        <v>81693581</v>
      </c>
      <c r="AQ642" s="321">
        <f t="shared" si="1371"/>
        <v>-188400000</v>
      </c>
      <c r="AR642" s="42"/>
    </row>
    <row r="643" spans="2:45" s="4" customFormat="1" ht="29.25" customHeight="1" thickBot="1">
      <c r="B643" s="848" t="s">
        <v>1178</v>
      </c>
      <c r="C643" s="875"/>
      <c r="D643" s="875"/>
      <c r="E643" s="875"/>
      <c r="F643" s="875"/>
      <c r="G643" s="875"/>
      <c r="H643" s="875"/>
      <c r="I643" s="875"/>
      <c r="J643" s="875"/>
      <c r="K643" s="875"/>
      <c r="L643" s="876"/>
      <c r="M643" s="876"/>
      <c r="N643" s="876"/>
      <c r="O643" s="876"/>
      <c r="P643" s="876"/>
      <c r="Q643" s="876"/>
      <c r="R643" s="876"/>
      <c r="S643" s="876"/>
      <c r="T643" s="876"/>
      <c r="U643" s="876"/>
      <c r="V643" s="876"/>
      <c r="W643" s="876"/>
      <c r="X643" s="876"/>
      <c r="Y643" s="876"/>
      <c r="Z643" s="876"/>
      <c r="AA643" s="876"/>
      <c r="AB643" s="876"/>
      <c r="AC643" s="876"/>
      <c r="AD643" s="876"/>
      <c r="AE643" s="875"/>
      <c r="AF643" s="875"/>
      <c r="AG643" s="875"/>
      <c r="AH643" s="875"/>
      <c r="AI643" s="875"/>
      <c r="AJ643" s="875"/>
      <c r="AK643" s="875"/>
      <c r="AL643" s="875"/>
      <c r="AM643" s="875"/>
      <c r="AN643" s="875"/>
      <c r="AO643" s="875"/>
      <c r="AP643" s="875"/>
      <c r="AQ643" s="877"/>
      <c r="AR643" s="48"/>
    </row>
    <row r="644" spans="2:45" ht="41.25" customHeight="1" thickBot="1">
      <c r="B644" s="848" t="s">
        <v>1158</v>
      </c>
      <c r="C644" s="849"/>
      <c r="D644" s="849"/>
      <c r="E644" s="849"/>
      <c r="F644" s="849"/>
      <c r="G644" s="849"/>
      <c r="H644" s="849"/>
      <c r="I644" s="849"/>
      <c r="J644" s="849"/>
      <c r="K644" s="849"/>
      <c r="L644" s="849"/>
      <c r="M644" s="849"/>
      <c r="N644" s="849"/>
      <c r="O644" s="849"/>
      <c r="P644" s="849"/>
      <c r="Q644" s="849"/>
      <c r="R644" s="849"/>
      <c r="S644" s="849"/>
      <c r="T644" s="849"/>
      <c r="U644" s="849"/>
      <c r="V644" s="849"/>
      <c r="W644" s="849"/>
      <c r="X644" s="849"/>
      <c r="Y644" s="849"/>
      <c r="Z644" s="849"/>
      <c r="AA644" s="849"/>
      <c r="AB644" s="849"/>
      <c r="AC644" s="849"/>
      <c r="AD644" s="849"/>
      <c r="AE644" s="849"/>
      <c r="AF644" s="849"/>
      <c r="AG644" s="849"/>
      <c r="AH644" s="849"/>
      <c r="AI644" s="849"/>
      <c r="AJ644" s="849"/>
      <c r="AK644" s="849"/>
      <c r="AL644" s="849"/>
      <c r="AM644" s="849"/>
      <c r="AN644" s="849"/>
      <c r="AO644" s="849"/>
      <c r="AP644" s="849"/>
      <c r="AQ644" s="850"/>
      <c r="AR644" s="47"/>
    </row>
    <row r="645" spans="2:45" ht="45" customHeight="1">
      <c r="B645" s="822" t="s">
        <v>0</v>
      </c>
      <c r="C645" s="836" t="s">
        <v>51</v>
      </c>
      <c r="D645" s="836" t="s">
        <v>1</v>
      </c>
      <c r="E645" s="836" t="s">
        <v>86</v>
      </c>
      <c r="F645" s="836"/>
      <c r="G645" s="836" t="s">
        <v>54</v>
      </c>
      <c r="H645" s="836"/>
      <c r="I645" s="817" t="s">
        <v>57</v>
      </c>
      <c r="J645" s="817"/>
      <c r="K645" s="817"/>
      <c r="L645" s="817" t="s">
        <v>58</v>
      </c>
      <c r="M645" s="817"/>
      <c r="N645" s="817"/>
      <c r="O645" s="817" t="s">
        <v>93</v>
      </c>
      <c r="P645" s="826"/>
      <c r="Q645" s="826"/>
      <c r="R645" s="825" t="s">
        <v>183</v>
      </c>
      <c r="S645" s="825"/>
      <c r="T645" s="825"/>
      <c r="U645" s="825" t="s">
        <v>182</v>
      </c>
      <c r="V645" s="825"/>
      <c r="W645" s="825"/>
      <c r="X645" s="825" t="s">
        <v>181</v>
      </c>
      <c r="Y645" s="825"/>
      <c r="Z645" s="825"/>
      <c r="AA645" s="825" t="s">
        <v>180</v>
      </c>
      <c r="AB645" s="825"/>
      <c r="AC645" s="825"/>
      <c r="AD645" s="825" t="s">
        <v>59</v>
      </c>
      <c r="AE645" s="826"/>
      <c r="AF645" s="826"/>
      <c r="AG645" s="817" t="s">
        <v>60</v>
      </c>
      <c r="AH645" s="817"/>
      <c r="AI645" s="817"/>
      <c r="AJ645" s="817"/>
      <c r="AK645" s="817"/>
      <c r="AL645" s="817"/>
      <c r="AM645" s="817"/>
      <c r="AN645" s="817" t="s">
        <v>65</v>
      </c>
      <c r="AO645" s="818"/>
      <c r="AP645" s="818"/>
      <c r="AQ645" s="843" t="s">
        <v>66</v>
      </c>
      <c r="AR645" s="47"/>
    </row>
    <row r="646" spans="2:45" ht="45.6" customHeight="1">
      <c r="B646" s="823"/>
      <c r="C646" s="837"/>
      <c r="D646" s="837"/>
      <c r="E646" s="830" t="s">
        <v>52</v>
      </c>
      <c r="F646" s="830" t="s">
        <v>53</v>
      </c>
      <c r="G646" s="833" t="s">
        <v>55</v>
      </c>
      <c r="H646" s="833" t="s">
        <v>55</v>
      </c>
      <c r="I646" s="821"/>
      <c r="J646" s="821"/>
      <c r="K646" s="821"/>
      <c r="L646" s="821"/>
      <c r="M646" s="821"/>
      <c r="N646" s="821"/>
      <c r="O646" s="827"/>
      <c r="P646" s="827"/>
      <c r="Q646" s="827"/>
      <c r="R646" s="847"/>
      <c r="S646" s="847"/>
      <c r="T646" s="847"/>
      <c r="U646" s="847"/>
      <c r="V646" s="847"/>
      <c r="W646" s="847"/>
      <c r="X646" s="847"/>
      <c r="Y646" s="847"/>
      <c r="Z646" s="847"/>
      <c r="AA646" s="847"/>
      <c r="AB646" s="847"/>
      <c r="AC646" s="847"/>
      <c r="AD646" s="827"/>
      <c r="AE646" s="827"/>
      <c r="AF646" s="827"/>
      <c r="AG646" s="821" t="s">
        <v>184</v>
      </c>
      <c r="AH646" s="854"/>
      <c r="AI646" s="854"/>
      <c r="AJ646" s="821" t="s">
        <v>62</v>
      </c>
      <c r="AK646" s="853"/>
      <c r="AL646" s="853"/>
      <c r="AM646" s="853"/>
      <c r="AN646" s="819" t="s">
        <v>185</v>
      </c>
      <c r="AO646" s="819"/>
      <c r="AP646" s="819"/>
      <c r="AQ646" s="844"/>
      <c r="AR646" s="47"/>
    </row>
    <row r="647" spans="2:45" ht="28.5" customHeight="1" thickBot="1">
      <c r="B647" s="824"/>
      <c r="C647" s="839"/>
      <c r="D647" s="839"/>
      <c r="E647" s="832"/>
      <c r="F647" s="832"/>
      <c r="G647" s="835"/>
      <c r="H647" s="835"/>
      <c r="I647" s="53" t="s">
        <v>32</v>
      </c>
      <c r="J647" s="53" t="s">
        <v>33</v>
      </c>
      <c r="K647" s="53" t="s">
        <v>67</v>
      </c>
      <c r="L647" s="53" t="s">
        <v>32</v>
      </c>
      <c r="M647" s="53" t="s">
        <v>33</v>
      </c>
      <c r="N647" s="53" t="s">
        <v>67</v>
      </c>
      <c r="O647" s="53" t="s">
        <v>32</v>
      </c>
      <c r="P647" s="53" t="s">
        <v>33</v>
      </c>
      <c r="Q647" s="53" t="s">
        <v>67</v>
      </c>
      <c r="R647" s="53" t="s">
        <v>32</v>
      </c>
      <c r="S647" s="53" t="s">
        <v>33</v>
      </c>
      <c r="T647" s="53" t="s">
        <v>67</v>
      </c>
      <c r="U647" s="53" t="s">
        <v>32</v>
      </c>
      <c r="V647" s="53" t="s">
        <v>33</v>
      </c>
      <c r="W647" s="53" t="s">
        <v>67</v>
      </c>
      <c r="X647" s="53"/>
      <c r="Y647" s="53"/>
      <c r="Z647" s="53"/>
      <c r="AA647" s="53"/>
      <c r="AB647" s="53"/>
      <c r="AC647" s="53"/>
      <c r="AD647" s="53" t="s">
        <v>32</v>
      </c>
      <c r="AE647" s="53" t="s">
        <v>33</v>
      </c>
      <c r="AF647" s="53" t="s">
        <v>67</v>
      </c>
      <c r="AG647" s="53" t="s">
        <v>32</v>
      </c>
      <c r="AH647" s="53" t="s">
        <v>33</v>
      </c>
      <c r="AI647" s="53" t="s">
        <v>61</v>
      </c>
      <c r="AJ647" s="53" t="s">
        <v>32</v>
      </c>
      <c r="AK647" s="53" t="s">
        <v>33</v>
      </c>
      <c r="AL647" s="53" t="s">
        <v>63</v>
      </c>
      <c r="AM647" s="53" t="s">
        <v>64</v>
      </c>
      <c r="AN647" s="53" t="s">
        <v>32</v>
      </c>
      <c r="AO647" s="53" t="s">
        <v>33</v>
      </c>
      <c r="AP647" s="53" t="s">
        <v>67</v>
      </c>
      <c r="AQ647" s="54"/>
      <c r="AR647" s="47"/>
    </row>
    <row r="648" spans="2:45" ht="47.45" customHeight="1">
      <c r="B648" s="55">
        <v>5.0999999999999996</v>
      </c>
      <c r="C648" s="845" t="s">
        <v>1179</v>
      </c>
      <c r="D648" s="846"/>
      <c r="E648" s="90"/>
      <c r="F648" s="90"/>
      <c r="G648" s="90"/>
      <c r="H648" s="90"/>
      <c r="I648" s="103"/>
      <c r="J648" s="103"/>
      <c r="K648" s="103"/>
      <c r="L648" s="103"/>
      <c r="M648" s="103"/>
      <c r="N648" s="103"/>
      <c r="O648" s="103"/>
      <c r="P648" s="103"/>
      <c r="Q648" s="103"/>
      <c r="R648" s="103"/>
      <c r="S648" s="103"/>
      <c r="T648" s="103"/>
      <c r="U648" s="103"/>
      <c r="V648" s="103"/>
      <c r="W648" s="103"/>
      <c r="X648" s="103"/>
      <c r="Y648" s="103"/>
      <c r="Z648" s="103"/>
      <c r="AA648" s="103"/>
      <c r="AB648" s="103"/>
      <c r="AC648" s="103"/>
      <c r="AD648" s="103"/>
      <c r="AE648" s="103"/>
      <c r="AF648" s="103"/>
      <c r="AG648" s="751">
        <f>407516*4</f>
        <v>1630064</v>
      </c>
      <c r="AH648" s="103"/>
      <c r="AI648" s="103"/>
      <c r="AJ648" s="103"/>
      <c r="AK648" s="103"/>
      <c r="AL648" s="103"/>
      <c r="AM648" s="103"/>
      <c r="AN648" s="103"/>
      <c r="AO648" s="103"/>
      <c r="AP648" s="103"/>
      <c r="AQ648" s="104"/>
      <c r="AR648" s="47"/>
    </row>
    <row r="649" spans="2:45" ht="31.9" customHeight="1">
      <c r="B649" s="35"/>
      <c r="C649" s="675" t="s">
        <v>68</v>
      </c>
      <c r="D649" s="180"/>
      <c r="E649" s="631"/>
      <c r="F649" s="631"/>
      <c r="G649" s="631"/>
      <c r="H649" s="631"/>
      <c r="I649" s="586"/>
      <c r="J649" s="586"/>
      <c r="K649" s="83"/>
      <c r="L649" s="83"/>
      <c r="M649" s="83"/>
      <c r="N649" s="83"/>
      <c r="O649" s="83"/>
      <c r="P649" s="83"/>
      <c r="Q649" s="83"/>
      <c r="R649" s="83"/>
      <c r="S649" s="83"/>
      <c r="T649" s="83"/>
      <c r="U649" s="83"/>
      <c r="V649" s="83"/>
      <c r="W649" s="83"/>
      <c r="X649" s="83"/>
      <c r="Y649" s="83"/>
      <c r="Z649" s="83"/>
      <c r="AA649" s="83"/>
      <c r="AB649" s="83"/>
      <c r="AC649" s="83"/>
      <c r="AD649" s="83"/>
      <c r="AE649" s="83"/>
      <c r="AF649" s="83"/>
      <c r="AG649" s="83"/>
      <c r="AH649" s="83"/>
      <c r="AI649" s="83"/>
      <c r="AJ649" s="83"/>
      <c r="AK649" s="83"/>
      <c r="AL649" s="83"/>
      <c r="AM649" s="83"/>
      <c r="AN649" s="83"/>
      <c r="AO649" s="83"/>
      <c r="AP649" s="83"/>
      <c r="AQ649" s="112"/>
      <c r="AR649" s="47"/>
    </row>
    <row r="650" spans="2:45" ht="65.45" customHeight="1">
      <c r="B650" s="210" t="s">
        <v>1180</v>
      </c>
      <c r="C650" s="571" t="s">
        <v>1194</v>
      </c>
      <c r="D650" s="217"/>
      <c r="E650" s="800" t="s">
        <v>1609</v>
      </c>
      <c r="F650" s="800"/>
      <c r="G650" s="570">
        <v>2025</v>
      </c>
      <c r="H650" s="570">
        <v>2030</v>
      </c>
      <c r="I650" s="197">
        <f>SUM(I651:I654)</f>
        <v>0</v>
      </c>
      <c r="J650" s="197">
        <f>SUM(J651:J654)</f>
        <v>0</v>
      </c>
      <c r="K650" s="197">
        <f>I650+J650</f>
        <v>0</v>
      </c>
      <c r="L650" s="197">
        <f>SUM(L651:L654)</f>
        <v>3945098</v>
      </c>
      <c r="M650" s="197">
        <f>SUM(M651:M654)</f>
        <v>0</v>
      </c>
      <c r="N650" s="197">
        <f>L650+M650</f>
        <v>3945098</v>
      </c>
      <c r="O650" s="197">
        <f>SUM(O651:O654)</f>
        <v>407516</v>
      </c>
      <c r="P650" s="197">
        <f>SUM(P651:P654)</f>
        <v>0</v>
      </c>
      <c r="Q650" s="197">
        <f>O650+P650</f>
        <v>407516</v>
      </c>
      <c r="R650" s="197">
        <f>SUM(R651:R654)</f>
        <v>407516</v>
      </c>
      <c r="S650" s="197">
        <f>SUM(S651:S654)</f>
        <v>0</v>
      </c>
      <c r="T650" s="197">
        <f>R650+S650</f>
        <v>407516</v>
      </c>
      <c r="U650" s="197">
        <f>SUM(U651:U654)</f>
        <v>407516</v>
      </c>
      <c r="V650" s="197">
        <f>SUM(V651:V654)</f>
        <v>0</v>
      </c>
      <c r="W650" s="197">
        <f>U650+V650</f>
        <v>407516</v>
      </c>
      <c r="X650" s="197">
        <f>SUM(X651:X654)</f>
        <v>407516</v>
      </c>
      <c r="Y650" s="197">
        <f>SUM(Y651:Y654)</f>
        <v>0</v>
      </c>
      <c r="Z650" s="197">
        <f>SUM(Z651:Z654)</f>
        <v>407516</v>
      </c>
      <c r="AA650" s="197">
        <f>SUM(AA651:AA654)</f>
        <v>407516</v>
      </c>
      <c r="AB650" s="197">
        <f>SUM(AB651:AB654)</f>
        <v>0</v>
      </c>
      <c r="AC650" s="197">
        <f>SUM(AA650:AB650)</f>
        <v>407516</v>
      </c>
      <c r="AD650" s="197">
        <f t="shared" ref="AD650:AD654" si="1372">I650+L650+O650+R650+U650+X650+AA650</f>
        <v>5982678</v>
      </c>
      <c r="AE650" s="197">
        <f t="shared" ref="AE650:AE654" si="1373">J650+M650+P650+S650+V650+Y650+AB650</f>
        <v>0</v>
      </c>
      <c r="AF650" s="197">
        <f>AD650+AE650</f>
        <v>5982678</v>
      </c>
      <c r="AG650" s="197">
        <f>SUM(AG651:AG654)</f>
        <v>2852614</v>
      </c>
      <c r="AH650" s="197">
        <f>SUM(AH651:AH654)</f>
        <v>0</v>
      </c>
      <c r="AI650" s="197">
        <f>AG650+AH650</f>
        <v>2852614</v>
      </c>
      <c r="AJ650" s="197">
        <f>SUM(AJ651:AJ654)</f>
        <v>0</v>
      </c>
      <c r="AK650" s="197">
        <f>SUM(AK651:AK654)</f>
        <v>0</v>
      </c>
      <c r="AL650" s="197"/>
      <c r="AM650" s="197">
        <f t="shared" ref="AM650:AM708" si="1374">AJ650+AK650</f>
        <v>0</v>
      </c>
      <c r="AN650" s="197">
        <f>SUM(AN651:AN654)</f>
        <v>1630064</v>
      </c>
      <c r="AO650" s="197">
        <f>SUM(AO651:AO654)</f>
        <v>0</v>
      </c>
      <c r="AP650" s="197">
        <f>AN650+AO650</f>
        <v>1630064</v>
      </c>
      <c r="AQ650" s="577">
        <f t="shared" ref="AQ650:AQ708" si="1375">SUM(AP650+AM650+AI650)-AF650</f>
        <v>-1500000</v>
      </c>
      <c r="AR650" s="47"/>
    </row>
    <row r="651" spans="2:45" ht="31.9" customHeight="1">
      <c r="B651" s="35" t="s">
        <v>1181</v>
      </c>
      <c r="C651" s="672" t="s">
        <v>1195</v>
      </c>
      <c r="D651" s="92"/>
      <c r="E651" s="673" t="s">
        <v>1609</v>
      </c>
      <c r="F651" s="673"/>
      <c r="G651" s="674">
        <v>2025</v>
      </c>
      <c r="H651" s="674">
        <v>2025</v>
      </c>
      <c r="I651" s="83">
        <v>0</v>
      </c>
      <c r="J651" s="83">
        <v>0</v>
      </c>
      <c r="K651" s="264">
        <f t="shared" ref="K651:K654" si="1376">SUM(I651:J651)</f>
        <v>0</v>
      </c>
      <c r="L651" s="83">
        <v>2037582</v>
      </c>
      <c r="M651" s="83">
        <v>0</v>
      </c>
      <c r="N651" s="264">
        <f t="shared" ref="N651:N654" si="1377">SUM(L651:M651)</f>
        <v>2037582</v>
      </c>
      <c r="O651" s="83">
        <v>0</v>
      </c>
      <c r="P651" s="83">
        <v>0</v>
      </c>
      <c r="Q651" s="264">
        <f t="shared" ref="Q651:Q654" si="1378">SUM(O651:P651)</f>
        <v>0</v>
      </c>
      <c r="R651" s="83">
        <v>0</v>
      </c>
      <c r="S651" s="83">
        <v>0</v>
      </c>
      <c r="T651" s="264">
        <f t="shared" ref="T651:T654" si="1379">SUM(R651:S651)</f>
        <v>0</v>
      </c>
      <c r="U651" s="83">
        <v>0</v>
      </c>
      <c r="V651" s="83">
        <v>0</v>
      </c>
      <c r="W651" s="264">
        <f t="shared" ref="W651:W654" si="1380">SUM(U651:V651)</f>
        <v>0</v>
      </c>
      <c r="X651" s="83">
        <v>0</v>
      </c>
      <c r="Y651" s="83">
        <v>0</v>
      </c>
      <c r="Z651" s="264">
        <f t="shared" ref="Z651:Z654" si="1381">SUM(X651:Y651)</f>
        <v>0</v>
      </c>
      <c r="AA651" s="83">
        <v>0</v>
      </c>
      <c r="AB651" s="83">
        <v>0</v>
      </c>
      <c r="AC651" s="264">
        <f t="shared" ref="AC651:AC654" si="1382">SUM(AA651:AB651)</f>
        <v>0</v>
      </c>
      <c r="AD651" s="83">
        <f t="shared" si="1372"/>
        <v>2037582</v>
      </c>
      <c r="AE651" s="83">
        <f t="shared" si="1373"/>
        <v>0</v>
      </c>
      <c r="AF651" s="264">
        <f t="shared" ref="AF651:AF654" si="1383">AD651+AE651</f>
        <v>2037582</v>
      </c>
      <c r="AG651" s="83">
        <v>2037582</v>
      </c>
      <c r="AH651" s="83">
        <v>0</v>
      </c>
      <c r="AI651" s="264">
        <f t="shared" ref="AI651:AI654" si="1384">SUM(AG651:AH651)</f>
        <v>2037582</v>
      </c>
      <c r="AJ651" s="83">
        <v>0</v>
      </c>
      <c r="AK651" s="83">
        <v>0</v>
      </c>
      <c r="AL651" s="83"/>
      <c r="AM651" s="264">
        <f t="shared" si="1374"/>
        <v>0</v>
      </c>
      <c r="AN651" s="83">
        <v>0</v>
      </c>
      <c r="AO651" s="83">
        <v>0</v>
      </c>
      <c r="AP651" s="264">
        <f t="shared" ref="AP651:AP654" si="1385">SUM(AN651:AO651)</f>
        <v>0</v>
      </c>
      <c r="AQ651" s="578">
        <f t="shared" si="1375"/>
        <v>0</v>
      </c>
      <c r="AR651" s="47"/>
    </row>
    <row r="652" spans="2:45" ht="31.9" customHeight="1">
      <c r="B652" s="35" t="s">
        <v>1182</v>
      </c>
      <c r="C652" s="672" t="s">
        <v>1196</v>
      </c>
      <c r="D652" s="92"/>
      <c r="E652" s="673" t="s">
        <v>1609</v>
      </c>
      <c r="F652" s="673"/>
      <c r="G652" s="674">
        <v>2025</v>
      </c>
      <c r="H652" s="674">
        <v>2025</v>
      </c>
      <c r="I652" s="83">
        <v>0</v>
      </c>
      <c r="J652" s="83">
        <v>0</v>
      </c>
      <c r="K652" s="264">
        <f t="shared" si="1376"/>
        <v>0</v>
      </c>
      <c r="L652" s="83">
        <v>900000</v>
      </c>
      <c r="M652" s="83">
        <v>0</v>
      </c>
      <c r="N652" s="264">
        <f t="shared" si="1377"/>
        <v>900000</v>
      </c>
      <c r="O652" s="83">
        <v>0</v>
      </c>
      <c r="P652" s="83">
        <v>0</v>
      </c>
      <c r="Q652" s="264">
        <f t="shared" si="1378"/>
        <v>0</v>
      </c>
      <c r="R652" s="83">
        <v>0</v>
      </c>
      <c r="S652" s="83">
        <v>0</v>
      </c>
      <c r="T652" s="264">
        <f t="shared" si="1379"/>
        <v>0</v>
      </c>
      <c r="U652" s="83">
        <v>0</v>
      </c>
      <c r="V652" s="83">
        <v>0</v>
      </c>
      <c r="W652" s="264">
        <f t="shared" si="1380"/>
        <v>0</v>
      </c>
      <c r="X652" s="83">
        <v>0</v>
      </c>
      <c r="Y652" s="83">
        <v>0</v>
      </c>
      <c r="Z652" s="264">
        <f t="shared" si="1381"/>
        <v>0</v>
      </c>
      <c r="AA652" s="83">
        <v>0</v>
      </c>
      <c r="AB652" s="83">
        <v>0</v>
      </c>
      <c r="AC652" s="264">
        <f t="shared" si="1382"/>
        <v>0</v>
      </c>
      <c r="AD652" s="83">
        <f t="shared" si="1372"/>
        <v>900000</v>
      </c>
      <c r="AE652" s="83">
        <f t="shared" si="1373"/>
        <v>0</v>
      </c>
      <c r="AF652" s="264">
        <f t="shared" si="1383"/>
        <v>900000</v>
      </c>
      <c r="AG652" s="83">
        <v>0</v>
      </c>
      <c r="AH652" s="83">
        <v>0</v>
      </c>
      <c r="AI652" s="264">
        <f t="shared" si="1384"/>
        <v>0</v>
      </c>
      <c r="AJ652" s="83">
        <v>0</v>
      </c>
      <c r="AK652" s="83">
        <v>0</v>
      </c>
      <c r="AL652" s="83"/>
      <c r="AM652" s="264">
        <f t="shared" si="1374"/>
        <v>0</v>
      </c>
      <c r="AN652" s="83">
        <v>0</v>
      </c>
      <c r="AO652" s="83">
        <v>0</v>
      </c>
      <c r="AP652" s="264">
        <f t="shared" si="1385"/>
        <v>0</v>
      </c>
      <c r="AQ652" s="578">
        <f t="shared" si="1375"/>
        <v>-900000</v>
      </c>
      <c r="AR652" s="47"/>
      <c r="AS652" s="5">
        <f>750000*1.2</f>
        <v>900000</v>
      </c>
    </row>
    <row r="653" spans="2:45" ht="31.9" customHeight="1">
      <c r="B653" s="35" t="s">
        <v>1183</v>
      </c>
      <c r="C653" s="672" t="s">
        <v>1197</v>
      </c>
      <c r="D653" s="92"/>
      <c r="E653" s="673" t="s">
        <v>1609</v>
      </c>
      <c r="F653" s="673"/>
      <c r="G653" s="674">
        <v>2025</v>
      </c>
      <c r="H653" s="674">
        <v>2025</v>
      </c>
      <c r="I653" s="83">
        <v>0</v>
      </c>
      <c r="J653" s="83">
        <v>0</v>
      </c>
      <c r="K653" s="264">
        <f t="shared" si="1376"/>
        <v>0</v>
      </c>
      <c r="L653" s="83">
        <v>600000</v>
      </c>
      <c r="M653" s="83">
        <v>0</v>
      </c>
      <c r="N653" s="264">
        <f t="shared" si="1377"/>
        <v>600000</v>
      </c>
      <c r="O653" s="83">
        <v>0</v>
      </c>
      <c r="P653" s="83">
        <v>0</v>
      </c>
      <c r="Q653" s="264">
        <f t="shared" si="1378"/>
        <v>0</v>
      </c>
      <c r="R653" s="83">
        <v>0</v>
      </c>
      <c r="S653" s="83">
        <v>0</v>
      </c>
      <c r="T653" s="264">
        <f t="shared" si="1379"/>
        <v>0</v>
      </c>
      <c r="U653" s="83">
        <v>0</v>
      </c>
      <c r="V653" s="83">
        <v>0</v>
      </c>
      <c r="W653" s="264">
        <f t="shared" si="1380"/>
        <v>0</v>
      </c>
      <c r="X653" s="83">
        <v>0</v>
      </c>
      <c r="Y653" s="83">
        <v>0</v>
      </c>
      <c r="Z653" s="264">
        <f t="shared" si="1381"/>
        <v>0</v>
      </c>
      <c r="AA653" s="83">
        <v>0</v>
      </c>
      <c r="AB653" s="83">
        <v>0</v>
      </c>
      <c r="AC653" s="264">
        <f t="shared" si="1382"/>
        <v>0</v>
      </c>
      <c r="AD653" s="83">
        <f t="shared" si="1372"/>
        <v>600000</v>
      </c>
      <c r="AE653" s="83">
        <f t="shared" si="1373"/>
        <v>0</v>
      </c>
      <c r="AF653" s="264">
        <f t="shared" si="1383"/>
        <v>600000</v>
      </c>
      <c r="AG653" s="83">
        <v>0</v>
      </c>
      <c r="AH653" s="83">
        <v>0</v>
      </c>
      <c r="AI653" s="264">
        <f t="shared" si="1384"/>
        <v>0</v>
      </c>
      <c r="AJ653" s="83">
        <v>0</v>
      </c>
      <c r="AK653" s="83">
        <v>0</v>
      </c>
      <c r="AL653" s="83"/>
      <c r="AM653" s="264">
        <f t="shared" si="1374"/>
        <v>0</v>
      </c>
      <c r="AN653" s="83">
        <v>0</v>
      </c>
      <c r="AO653" s="83">
        <v>0</v>
      </c>
      <c r="AP653" s="264">
        <f t="shared" si="1385"/>
        <v>0</v>
      </c>
      <c r="AQ653" s="578">
        <f t="shared" si="1375"/>
        <v>-600000</v>
      </c>
      <c r="AR653" s="47"/>
      <c r="AS653" s="5" t="s">
        <v>1587</v>
      </c>
    </row>
    <row r="654" spans="2:45" ht="31.9" customHeight="1">
      <c r="B654" s="88" t="s">
        <v>1184</v>
      </c>
      <c r="C654" s="676" t="s">
        <v>1198</v>
      </c>
      <c r="D654" s="180"/>
      <c r="E654" s="677" t="s">
        <v>1609</v>
      </c>
      <c r="F654" s="677"/>
      <c r="G654" s="678">
        <v>2025</v>
      </c>
      <c r="H654" s="674">
        <v>2030</v>
      </c>
      <c r="I654" s="83">
        <v>0</v>
      </c>
      <c r="J654" s="83">
        <v>0</v>
      </c>
      <c r="K654" s="264">
        <f t="shared" si="1376"/>
        <v>0</v>
      </c>
      <c r="L654" s="83">
        <v>407516</v>
      </c>
      <c r="M654" s="83">
        <v>0</v>
      </c>
      <c r="N654" s="264">
        <f t="shared" si="1377"/>
        <v>407516</v>
      </c>
      <c r="O654" s="83">
        <v>407516</v>
      </c>
      <c r="P654" s="83">
        <v>0</v>
      </c>
      <c r="Q654" s="264">
        <f t="shared" si="1378"/>
        <v>407516</v>
      </c>
      <c r="R654" s="83">
        <v>407516</v>
      </c>
      <c r="S654" s="83">
        <v>0</v>
      </c>
      <c r="T654" s="264">
        <f t="shared" si="1379"/>
        <v>407516</v>
      </c>
      <c r="U654" s="83">
        <v>407516</v>
      </c>
      <c r="V654" s="83">
        <v>0</v>
      </c>
      <c r="W654" s="264">
        <f t="shared" si="1380"/>
        <v>407516</v>
      </c>
      <c r="X654" s="83">
        <v>407516</v>
      </c>
      <c r="Y654" s="83">
        <v>0</v>
      </c>
      <c r="Z654" s="264">
        <f t="shared" si="1381"/>
        <v>407516</v>
      </c>
      <c r="AA654" s="83">
        <v>407516</v>
      </c>
      <c r="AB654" s="83">
        <v>0</v>
      </c>
      <c r="AC654" s="264">
        <f t="shared" si="1382"/>
        <v>407516</v>
      </c>
      <c r="AD654" s="83">
        <f t="shared" si="1372"/>
        <v>2445096</v>
      </c>
      <c r="AE654" s="83">
        <f t="shared" si="1373"/>
        <v>0</v>
      </c>
      <c r="AF654" s="264">
        <f t="shared" si="1383"/>
        <v>2445096</v>
      </c>
      <c r="AG654" s="83">
        <f>407516*2</f>
        <v>815032</v>
      </c>
      <c r="AH654" s="83">
        <v>0</v>
      </c>
      <c r="AI654" s="264">
        <f t="shared" si="1384"/>
        <v>815032</v>
      </c>
      <c r="AJ654" s="83">
        <v>0</v>
      </c>
      <c r="AK654" s="83">
        <v>0</v>
      </c>
      <c r="AL654" s="83"/>
      <c r="AM654" s="264">
        <f t="shared" si="1374"/>
        <v>0</v>
      </c>
      <c r="AN654" s="83">
        <f>407516*4</f>
        <v>1630064</v>
      </c>
      <c r="AO654" s="83">
        <v>0</v>
      </c>
      <c r="AP654" s="264">
        <f t="shared" si="1385"/>
        <v>1630064</v>
      </c>
      <c r="AQ654" s="578">
        <f t="shared" si="1375"/>
        <v>0</v>
      </c>
      <c r="AR654" s="47"/>
    </row>
    <row r="655" spans="2:45" ht="49.9" customHeight="1">
      <c r="B655" s="210" t="s">
        <v>1185</v>
      </c>
      <c r="C655" s="571" t="s">
        <v>1199</v>
      </c>
      <c r="D655" s="217"/>
      <c r="E655" s="799" t="s">
        <v>1205</v>
      </c>
      <c r="F655" s="799"/>
      <c r="G655" s="570">
        <v>2024</v>
      </c>
      <c r="H655" s="570">
        <v>2030</v>
      </c>
      <c r="I655" s="197">
        <f>SUM(I656:I660)</f>
        <v>1222548</v>
      </c>
      <c r="J655" s="197">
        <f>SUM(J656:J660)</f>
        <v>0</v>
      </c>
      <c r="K655" s="197">
        <f>I655+J655</f>
        <v>1222548</v>
      </c>
      <c r="L655" s="197">
        <f>SUM(L656:L660)</f>
        <v>1222548</v>
      </c>
      <c r="M655" s="197">
        <f>SUM(M656:M660)</f>
        <v>0</v>
      </c>
      <c r="N655" s="197">
        <f>L655+M655</f>
        <v>1222548</v>
      </c>
      <c r="O655" s="197">
        <f>SUM(O656:O660)</f>
        <v>1222548</v>
      </c>
      <c r="P655" s="197">
        <f>SUM(P656:P660)</f>
        <v>0</v>
      </c>
      <c r="Q655" s="197">
        <f>O655+P655</f>
        <v>1222548</v>
      </c>
      <c r="R655" s="197">
        <f>SUM(R656:R660)</f>
        <v>1222548</v>
      </c>
      <c r="S655" s="197">
        <f>SUM(S656:S660)</f>
        <v>0</v>
      </c>
      <c r="T655" s="197">
        <f>R655+S655</f>
        <v>1222548</v>
      </c>
      <c r="U655" s="197">
        <f>SUM(U656:U660)</f>
        <v>1222548</v>
      </c>
      <c r="V655" s="197">
        <f>SUM(V656:V660)</f>
        <v>0</v>
      </c>
      <c r="W655" s="197">
        <f>U655+V655</f>
        <v>1222548</v>
      </c>
      <c r="X655" s="197">
        <f>SUM(X656:X660)</f>
        <v>1222548</v>
      </c>
      <c r="Y655" s="197">
        <f>SUM(Y656:Y660)</f>
        <v>0</v>
      </c>
      <c r="Z655" s="197">
        <f>SUM(Z656:Z660)</f>
        <v>1222548</v>
      </c>
      <c r="AA655" s="197">
        <f>SUM(AA656:AA660)</f>
        <v>1222548</v>
      </c>
      <c r="AB655" s="197">
        <f>SUM(AB656:AB660)</f>
        <v>0</v>
      </c>
      <c r="AC655" s="197">
        <f>SUM(AA655:AB655)</f>
        <v>1222548</v>
      </c>
      <c r="AD655" s="197">
        <f t="shared" ref="AD655:AD660" si="1386">I655+L655+O655+R655+U655+X655+AA655</f>
        <v>8557836</v>
      </c>
      <c r="AE655" s="197">
        <f t="shared" ref="AE655:AE657" si="1387">J655+M655+P655+S655+V655+Y655+AB655</f>
        <v>0</v>
      </c>
      <c r="AF655" s="197">
        <f>AD655+AE655</f>
        <v>8557836</v>
      </c>
      <c r="AG655" s="197">
        <f>SUM(AG656:AG660)</f>
        <v>3667644</v>
      </c>
      <c r="AH655" s="197">
        <f>SUM(AH656:AH660)</f>
        <v>0</v>
      </c>
      <c r="AI655" s="197">
        <f>AG655+AH655</f>
        <v>3667644</v>
      </c>
      <c r="AJ655" s="197">
        <f>SUM(AJ656:AJ660)</f>
        <v>0</v>
      </c>
      <c r="AK655" s="197">
        <f>SUM(AK656:AK660)</f>
        <v>0</v>
      </c>
      <c r="AL655" s="197"/>
      <c r="AM655" s="197">
        <f t="shared" si="1374"/>
        <v>0</v>
      </c>
      <c r="AN655" s="197">
        <f>SUM(AN656:AN660)</f>
        <v>4890192</v>
      </c>
      <c r="AO655" s="197">
        <f>SUM(AO656:AO660)</f>
        <v>0</v>
      </c>
      <c r="AP655" s="197">
        <f>AN655+AO655</f>
        <v>4890192</v>
      </c>
      <c r="AQ655" s="577">
        <f t="shared" si="1375"/>
        <v>0</v>
      </c>
      <c r="AR655" s="47"/>
    </row>
    <row r="656" spans="2:45" ht="31.9" customHeight="1">
      <c r="B656" s="35" t="s">
        <v>1186</v>
      </c>
      <c r="C656" s="666" t="s">
        <v>1200</v>
      </c>
      <c r="D656" s="92"/>
      <c r="E656" s="663" t="s">
        <v>1609</v>
      </c>
      <c r="F656" s="663"/>
      <c r="G656" s="674">
        <v>2024</v>
      </c>
      <c r="H656" s="674">
        <v>2030</v>
      </c>
      <c r="I656" s="83">
        <v>407516</v>
      </c>
      <c r="J656" s="83">
        <v>0</v>
      </c>
      <c r="K656" s="264">
        <f t="shared" ref="K656:K660" si="1388">SUM(I656:J656)</f>
        <v>407516</v>
      </c>
      <c r="L656" s="83">
        <v>407516</v>
      </c>
      <c r="M656" s="83">
        <v>0</v>
      </c>
      <c r="N656" s="264">
        <f t="shared" ref="N656:N660" si="1389">SUM(L656:M656)</f>
        <v>407516</v>
      </c>
      <c r="O656" s="83">
        <v>407516</v>
      </c>
      <c r="P656" s="83">
        <v>0</v>
      </c>
      <c r="Q656" s="264">
        <f t="shared" ref="Q656:Q660" si="1390">SUM(O656:P656)</f>
        <v>407516</v>
      </c>
      <c r="R656" s="83">
        <v>407516</v>
      </c>
      <c r="S656" s="83">
        <v>0</v>
      </c>
      <c r="T656" s="264">
        <f t="shared" ref="T656:T660" si="1391">SUM(R656:S656)</f>
        <v>407516</v>
      </c>
      <c r="U656" s="83">
        <v>407516</v>
      </c>
      <c r="V656" s="83">
        <v>0</v>
      </c>
      <c r="W656" s="264">
        <f t="shared" ref="W656:W660" si="1392">SUM(U656:V656)</f>
        <v>407516</v>
      </c>
      <c r="X656" s="83">
        <v>407516</v>
      </c>
      <c r="Y656" s="83">
        <v>0</v>
      </c>
      <c r="Z656" s="264">
        <f t="shared" ref="Z656:Z660" si="1393">SUM(X656:Y656)</f>
        <v>407516</v>
      </c>
      <c r="AA656" s="83">
        <v>407516</v>
      </c>
      <c r="AB656" s="83">
        <v>0</v>
      </c>
      <c r="AC656" s="264">
        <f t="shared" ref="AC656:AC660" si="1394">SUM(AA656:AB656)</f>
        <v>407516</v>
      </c>
      <c r="AD656" s="83">
        <f t="shared" si="1386"/>
        <v>2852612</v>
      </c>
      <c r="AE656" s="83">
        <f t="shared" si="1387"/>
        <v>0</v>
      </c>
      <c r="AF656" s="264">
        <f t="shared" ref="AF656:AF660" si="1395">AD656+AE656</f>
        <v>2852612</v>
      </c>
      <c r="AG656" s="83">
        <f>407516*3</f>
        <v>1222548</v>
      </c>
      <c r="AH656" s="83">
        <v>0</v>
      </c>
      <c r="AI656" s="264">
        <f t="shared" ref="AI656:AI660" si="1396">SUM(AG656:AH656)</f>
        <v>1222548</v>
      </c>
      <c r="AJ656" s="83">
        <v>0</v>
      </c>
      <c r="AK656" s="83">
        <v>0</v>
      </c>
      <c r="AL656" s="83"/>
      <c r="AM656" s="264">
        <f t="shared" si="1374"/>
        <v>0</v>
      </c>
      <c r="AN656" s="83">
        <f>407516*4</f>
        <v>1630064</v>
      </c>
      <c r="AO656" s="83">
        <v>0</v>
      </c>
      <c r="AP656" s="264">
        <f t="shared" ref="AP656:AP660" si="1397">SUM(AN656:AO656)</f>
        <v>1630064</v>
      </c>
      <c r="AQ656" s="578">
        <f t="shared" si="1375"/>
        <v>0</v>
      </c>
      <c r="AR656" s="47"/>
    </row>
    <row r="657" spans="2:44" ht="31.9" customHeight="1">
      <c r="B657" s="35" t="s">
        <v>1187</v>
      </c>
      <c r="C657" s="666" t="s">
        <v>1201</v>
      </c>
      <c r="D657" s="92"/>
      <c r="E657" s="663" t="s">
        <v>1609</v>
      </c>
      <c r="F657" s="663"/>
      <c r="G657" s="674">
        <v>2024</v>
      </c>
      <c r="H657" s="674">
        <v>2030</v>
      </c>
      <c r="I657" s="83">
        <v>407516</v>
      </c>
      <c r="J657" s="83">
        <v>0</v>
      </c>
      <c r="K657" s="264">
        <f t="shared" si="1388"/>
        <v>407516</v>
      </c>
      <c r="L657" s="83">
        <v>407516</v>
      </c>
      <c r="M657" s="83">
        <v>0</v>
      </c>
      <c r="N657" s="264">
        <f t="shared" si="1389"/>
        <v>407516</v>
      </c>
      <c r="O657" s="83">
        <v>407516</v>
      </c>
      <c r="P657" s="83">
        <v>0</v>
      </c>
      <c r="Q657" s="264">
        <f t="shared" si="1390"/>
        <v>407516</v>
      </c>
      <c r="R657" s="83">
        <v>407516</v>
      </c>
      <c r="S657" s="83">
        <v>0</v>
      </c>
      <c r="T657" s="264">
        <f t="shared" si="1391"/>
        <v>407516</v>
      </c>
      <c r="U657" s="83">
        <v>407516</v>
      </c>
      <c r="V657" s="83">
        <v>0</v>
      </c>
      <c r="W657" s="264">
        <f t="shared" si="1392"/>
        <v>407516</v>
      </c>
      <c r="X657" s="83">
        <v>407516</v>
      </c>
      <c r="Y657" s="83">
        <v>0</v>
      </c>
      <c r="Z657" s="264">
        <f t="shared" si="1393"/>
        <v>407516</v>
      </c>
      <c r="AA657" s="83">
        <v>407516</v>
      </c>
      <c r="AB657" s="83">
        <v>0</v>
      </c>
      <c r="AC657" s="264">
        <f t="shared" si="1394"/>
        <v>407516</v>
      </c>
      <c r="AD657" s="83">
        <f t="shared" si="1386"/>
        <v>2852612</v>
      </c>
      <c r="AE657" s="83">
        <f t="shared" si="1387"/>
        <v>0</v>
      </c>
      <c r="AF657" s="264">
        <f t="shared" si="1395"/>
        <v>2852612</v>
      </c>
      <c r="AG657" s="83">
        <f>407516*3</f>
        <v>1222548</v>
      </c>
      <c r="AH657" s="83">
        <v>0</v>
      </c>
      <c r="AI657" s="264">
        <f t="shared" si="1396"/>
        <v>1222548</v>
      </c>
      <c r="AJ657" s="83">
        <v>0</v>
      </c>
      <c r="AK657" s="83">
        <v>0</v>
      </c>
      <c r="AL657" s="83"/>
      <c r="AM657" s="264">
        <f t="shared" si="1374"/>
        <v>0</v>
      </c>
      <c r="AN657" s="83">
        <f>407516*4</f>
        <v>1630064</v>
      </c>
      <c r="AO657" s="83">
        <v>0</v>
      </c>
      <c r="AP657" s="264">
        <f t="shared" si="1397"/>
        <v>1630064</v>
      </c>
      <c r="AQ657" s="578"/>
      <c r="AR657" s="47"/>
    </row>
    <row r="658" spans="2:44" ht="31.9" customHeight="1">
      <c r="B658" s="35" t="s">
        <v>1188</v>
      </c>
      <c r="C658" s="666" t="s">
        <v>1202</v>
      </c>
      <c r="D658" s="92"/>
      <c r="E658" s="663" t="s">
        <v>1609</v>
      </c>
      <c r="F658" s="663"/>
      <c r="G658" s="674">
        <v>2024</v>
      </c>
      <c r="H658" s="674">
        <v>2030</v>
      </c>
      <c r="I658" s="83">
        <v>203758</v>
      </c>
      <c r="J658" s="83">
        <v>0</v>
      </c>
      <c r="K658" s="264">
        <f t="shared" si="1388"/>
        <v>203758</v>
      </c>
      <c r="L658" s="83">
        <v>203758</v>
      </c>
      <c r="M658" s="83">
        <v>0</v>
      </c>
      <c r="N658" s="264">
        <f t="shared" si="1389"/>
        <v>203758</v>
      </c>
      <c r="O658" s="83">
        <v>203758</v>
      </c>
      <c r="P658" s="83">
        <v>0</v>
      </c>
      <c r="Q658" s="264">
        <f t="shared" si="1390"/>
        <v>203758</v>
      </c>
      <c r="R658" s="83">
        <v>203758</v>
      </c>
      <c r="S658" s="83">
        <v>0</v>
      </c>
      <c r="T658" s="264">
        <f t="shared" si="1391"/>
        <v>203758</v>
      </c>
      <c r="U658" s="83">
        <v>203758</v>
      </c>
      <c r="V658" s="83">
        <v>0</v>
      </c>
      <c r="W658" s="264">
        <f t="shared" si="1392"/>
        <v>203758</v>
      </c>
      <c r="X658" s="83">
        <v>203758</v>
      </c>
      <c r="Y658" s="83">
        <v>0</v>
      </c>
      <c r="Z658" s="264">
        <f t="shared" si="1393"/>
        <v>203758</v>
      </c>
      <c r="AA658" s="83">
        <v>203758</v>
      </c>
      <c r="AB658" s="83">
        <v>0</v>
      </c>
      <c r="AC658" s="264">
        <f t="shared" si="1394"/>
        <v>203758</v>
      </c>
      <c r="AD658" s="83">
        <f t="shared" si="1386"/>
        <v>1426306</v>
      </c>
      <c r="AE658" s="83">
        <v>0</v>
      </c>
      <c r="AF658" s="264">
        <f t="shared" si="1395"/>
        <v>1426306</v>
      </c>
      <c r="AG658" s="83">
        <f>203758*3</f>
        <v>611274</v>
      </c>
      <c r="AH658" s="83">
        <v>0</v>
      </c>
      <c r="AI658" s="264">
        <f t="shared" si="1396"/>
        <v>611274</v>
      </c>
      <c r="AJ658" s="83">
        <v>0</v>
      </c>
      <c r="AK658" s="83">
        <v>0</v>
      </c>
      <c r="AL658" s="83"/>
      <c r="AM658" s="264">
        <f t="shared" si="1374"/>
        <v>0</v>
      </c>
      <c r="AN658" s="83">
        <f>203758*4</f>
        <v>815032</v>
      </c>
      <c r="AO658" s="83">
        <v>0</v>
      </c>
      <c r="AP658" s="264">
        <f t="shared" si="1397"/>
        <v>815032</v>
      </c>
      <c r="AQ658" s="578">
        <f t="shared" si="1375"/>
        <v>0</v>
      </c>
      <c r="AR658" s="47"/>
    </row>
    <row r="659" spans="2:44" ht="31.9" customHeight="1">
      <c r="B659" s="35" t="s">
        <v>1189</v>
      </c>
      <c r="C659" s="666" t="s">
        <v>1203</v>
      </c>
      <c r="D659" s="92"/>
      <c r="E659" s="663" t="s">
        <v>1609</v>
      </c>
      <c r="F659" s="663"/>
      <c r="G659" s="674">
        <v>2024</v>
      </c>
      <c r="H659" s="674">
        <v>2030</v>
      </c>
      <c r="I659" s="83">
        <v>0</v>
      </c>
      <c r="J659" s="83">
        <v>0</v>
      </c>
      <c r="K659" s="264">
        <f t="shared" si="1388"/>
        <v>0</v>
      </c>
      <c r="L659" s="83">
        <v>0</v>
      </c>
      <c r="M659" s="83">
        <v>0</v>
      </c>
      <c r="N659" s="264">
        <f t="shared" si="1389"/>
        <v>0</v>
      </c>
      <c r="O659" s="83">
        <v>0</v>
      </c>
      <c r="P659" s="83">
        <v>0</v>
      </c>
      <c r="Q659" s="264">
        <f t="shared" si="1390"/>
        <v>0</v>
      </c>
      <c r="R659" s="83">
        <v>0</v>
      </c>
      <c r="S659" s="83">
        <v>0</v>
      </c>
      <c r="T659" s="264">
        <f t="shared" si="1391"/>
        <v>0</v>
      </c>
      <c r="U659" s="83">
        <v>0</v>
      </c>
      <c r="V659" s="83">
        <v>0</v>
      </c>
      <c r="W659" s="264">
        <f t="shared" si="1392"/>
        <v>0</v>
      </c>
      <c r="X659" s="83">
        <v>0</v>
      </c>
      <c r="Y659" s="83">
        <v>0</v>
      </c>
      <c r="Z659" s="264">
        <f t="shared" si="1393"/>
        <v>0</v>
      </c>
      <c r="AA659" s="83">
        <v>0</v>
      </c>
      <c r="AB659" s="83">
        <v>0</v>
      </c>
      <c r="AC659" s="264">
        <f t="shared" si="1394"/>
        <v>0</v>
      </c>
      <c r="AD659" s="83">
        <f t="shared" si="1386"/>
        <v>0</v>
      </c>
      <c r="AE659" s="83">
        <v>0</v>
      </c>
      <c r="AF659" s="264">
        <f t="shared" si="1395"/>
        <v>0</v>
      </c>
      <c r="AG659" s="83">
        <v>0</v>
      </c>
      <c r="AH659" s="83">
        <v>0</v>
      </c>
      <c r="AI659" s="264">
        <f t="shared" si="1396"/>
        <v>0</v>
      </c>
      <c r="AJ659" s="83">
        <v>0</v>
      </c>
      <c r="AK659" s="83">
        <v>0</v>
      </c>
      <c r="AL659" s="83"/>
      <c r="AM659" s="264">
        <f t="shared" si="1374"/>
        <v>0</v>
      </c>
      <c r="AN659" s="83">
        <v>0</v>
      </c>
      <c r="AO659" s="83">
        <v>0</v>
      </c>
      <c r="AP659" s="264">
        <f t="shared" si="1397"/>
        <v>0</v>
      </c>
      <c r="AQ659" s="578"/>
      <c r="AR659" s="47"/>
    </row>
    <row r="660" spans="2:44" ht="31.9" customHeight="1">
      <c r="B660" s="35" t="s">
        <v>1190</v>
      </c>
      <c r="C660" s="666" t="s">
        <v>1204</v>
      </c>
      <c r="D660" s="92"/>
      <c r="E660" s="663" t="s">
        <v>1018</v>
      </c>
      <c r="F660" s="663"/>
      <c r="G660" s="674">
        <v>2024</v>
      </c>
      <c r="H660" s="674">
        <v>2030</v>
      </c>
      <c r="I660" s="83">
        <v>203758</v>
      </c>
      <c r="J660" s="83">
        <v>0</v>
      </c>
      <c r="K660" s="264">
        <f t="shared" si="1388"/>
        <v>203758</v>
      </c>
      <c r="L660" s="83">
        <v>203758</v>
      </c>
      <c r="M660" s="83">
        <v>0</v>
      </c>
      <c r="N660" s="264">
        <f t="shared" si="1389"/>
        <v>203758</v>
      </c>
      <c r="O660" s="83">
        <v>203758</v>
      </c>
      <c r="P660" s="83">
        <v>0</v>
      </c>
      <c r="Q660" s="264">
        <f t="shared" si="1390"/>
        <v>203758</v>
      </c>
      <c r="R660" s="83">
        <v>203758</v>
      </c>
      <c r="S660" s="83">
        <v>0</v>
      </c>
      <c r="T660" s="264">
        <f t="shared" si="1391"/>
        <v>203758</v>
      </c>
      <c r="U660" s="83">
        <v>203758</v>
      </c>
      <c r="V660" s="83">
        <v>0</v>
      </c>
      <c r="W660" s="264">
        <f t="shared" si="1392"/>
        <v>203758</v>
      </c>
      <c r="X660" s="83">
        <v>203758</v>
      </c>
      <c r="Y660" s="83">
        <v>0</v>
      </c>
      <c r="Z660" s="264">
        <f t="shared" si="1393"/>
        <v>203758</v>
      </c>
      <c r="AA660" s="83">
        <v>203758</v>
      </c>
      <c r="AB660" s="83">
        <v>0</v>
      </c>
      <c r="AC660" s="264">
        <f t="shared" si="1394"/>
        <v>203758</v>
      </c>
      <c r="AD660" s="83">
        <f t="shared" si="1386"/>
        <v>1426306</v>
      </c>
      <c r="AE660" s="83">
        <v>0</v>
      </c>
      <c r="AF660" s="264">
        <f t="shared" si="1395"/>
        <v>1426306</v>
      </c>
      <c r="AG660" s="83">
        <f>203758*3</f>
        <v>611274</v>
      </c>
      <c r="AH660" s="83">
        <v>0</v>
      </c>
      <c r="AI660" s="264">
        <f t="shared" si="1396"/>
        <v>611274</v>
      </c>
      <c r="AJ660" s="83">
        <v>0</v>
      </c>
      <c r="AK660" s="83">
        <v>0</v>
      </c>
      <c r="AL660" s="83"/>
      <c r="AM660" s="264">
        <f t="shared" si="1374"/>
        <v>0</v>
      </c>
      <c r="AN660" s="83">
        <f>203758*4</f>
        <v>815032</v>
      </c>
      <c r="AO660" s="83">
        <v>0</v>
      </c>
      <c r="AP660" s="264">
        <f t="shared" si="1397"/>
        <v>815032</v>
      </c>
      <c r="AQ660" s="578">
        <f t="shared" si="1375"/>
        <v>0</v>
      </c>
      <c r="AR660" s="47"/>
    </row>
    <row r="661" spans="2:44" ht="48.6" customHeight="1">
      <c r="B661" s="210" t="s">
        <v>1191</v>
      </c>
      <c r="C661" s="571" t="s">
        <v>1212</v>
      </c>
      <c r="D661" s="217"/>
      <c r="E661" s="799" t="s">
        <v>1609</v>
      </c>
      <c r="F661" s="799"/>
      <c r="G661" s="570">
        <v>2024</v>
      </c>
      <c r="H661" s="570">
        <v>2030</v>
      </c>
      <c r="I661" s="197">
        <f>SUM(I662:I663)</f>
        <v>407516</v>
      </c>
      <c r="J661" s="197">
        <f>SUM(J662:J663)</f>
        <v>0</v>
      </c>
      <c r="K661" s="197">
        <f>I661+J661</f>
        <v>407516</v>
      </c>
      <c r="L661" s="197">
        <f>SUM(L662:L663)</f>
        <v>407516</v>
      </c>
      <c r="M661" s="197">
        <f>SUM(M662:M663)</f>
        <v>0</v>
      </c>
      <c r="N661" s="197">
        <f>L661+M661</f>
        <v>407516</v>
      </c>
      <c r="O661" s="197">
        <f>SUM(O662:O663)</f>
        <v>407516</v>
      </c>
      <c r="P661" s="197">
        <f>SUM(P662:P663)</f>
        <v>0</v>
      </c>
      <c r="Q661" s="197">
        <f>O661+P661</f>
        <v>407516</v>
      </c>
      <c r="R661" s="197">
        <f>SUM(R662:R663)</f>
        <v>407516</v>
      </c>
      <c r="S661" s="197">
        <f>SUM(S662:S663)</f>
        <v>0</v>
      </c>
      <c r="T661" s="197">
        <f>R661+S661</f>
        <v>407516</v>
      </c>
      <c r="U661" s="197">
        <f>SUM(U662:U663)</f>
        <v>407516</v>
      </c>
      <c r="V661" s="197">
        <f>SUM(V662:V663)</f>
        <v>0</v>
      </c>
      <c r="W661" s="197">
        <f>U661+V661</f>
        <v>407516</v>
      </c>
      <c r="X661" s="197">
        <f>SUM(X662:X663)</f>
        <v>407516</v>
      </c>
      <c r="Y661" s="197">
        <f>SUM(Y662:Y663)</f>
        <v>0</v>
      </c>
      <c r="Z661" s="197">
        <f>SUM(Z662:Z663)</f>
        <v>407516</v>
      </c>
      <c r="AA661" s="197">
        <f>SUM(AA662:AA663)</f>
        <v>407516</v>
      </c>
      <c r="AB661" s="197">
        <f>SUM(AB662:AB663)</f>
        <v>0</v>
      </c>
      <c r="AC661" s="197">
        <f>SUM(AA661:AB661)</f>
        <v>407516</v>
      </c>
      <c r="AD661" s="197">
        <f t="shared" ref="AD661:AD663" si="1398">I661+L661+O661+R661+U661+X661+AA661</f>
        <v>2852612</v>
      </c>
      <c r="AE661" s="197">
        <f t="shared" ref="AE661:AE662" si="1399">J661+M661+P661+S661+V661+Y661+AB661</f>
        <v>0</v>
      </c>
      <c r="AF661" s="197">
        <f>AD661+AE661</f>
        <v>2852612</v>
      </c>
      <c r="AG661" s="197">
        <f>SUM(AG662:AG663)</f>
        <v>1222548</v>
      </c>
      <c r="AH661" s="197">
        <f>SUM(AH662:AH663)</f>
        <v>0</v>
      </c>
      <c r="AI661" s="197">
        <f>AG661+AH661</f>
        <v>1222548</v>
      </c>
      <c r="AJ661" s="197">
        <f>SUM(AJ662:AJ663)</f>
        <v>0</v>
      </c>
      <c r="AK661" s="197">
        <f>SUM(AK662:AK663)</f>
        <v>0</v>
      </c>
      <c r="AL661" s="197"/>
      <c r="AM661" s="197">
        <f t="shared" si="1374"/>
        <v>0</v>
      </c>
      <c r="AN661" s="197">
        <f>SUM(AN662:AN663)</f>
        <v>1630064</v>
      </c>
      <c r="AO661" s="197">
        <f>SUM(AO662:AO663)</f>
        <v>0</v>
      </c>
      <c r="AP661" s="197">
        <f>AN661+AO661</f>
        <v>1630064</v>
      </c>
      <c r="AQ661" s="577">
        <f t="shared" si="1375"/>
        <v>0</v>
      </c>
      <c r="AR661" s="47"/>
    </row>
    <row r="662" spans="2:44" ht="31.9" customHeight="1">
      <c r="B662" s="35" t="s">
        <v>1192</v>
      </c>
      <c r="C662" s="666" t="s">
        <v>1213</v>
      </c>
      <c r="D662" s="92"/>
      <c r="E662" s="663" t="s">
        <v>1609</v>
      </c>
      <c r="F662" s="663"/>
      <c r="G662" s="406">
        <v>2024</v>
      </c>
      <c r="H662" s="406">
        <v>2030</v>
      </c>
      <c r="I662" s="83">
        <v>203758</v>
      </c>
      <c r="J662" s="83">
        <v>0</v>
      </c>
      <c r="K662" s="264">
        <f t="shared" ref="K662:K663" si="1400">SUM(I662:J662)</f>
        <v>203758</v>
      </c>
      <c r="L662" s="83">
        <v>203758</v>
      </c>
      <c r="M662" s="83">
        <v>0</v>
      </c>
      <c r="N662" s="264">
        <f t="shared" ref="N662:N663" si="1401">SUM(L662:M662)</f>
        <v>203758</v>
      </c>
      <c r="O662" s="83">
        <v>203758</v>
      </c>
      <c r="P662" s="83">
        <v>0</v>
      </c>
      <c r="Q662" s="264">
        <f t="shared" ref="Q662:Q663" si="1402">SUM(O662:P662)</f>
        <v>203758</v>
      </c>
      <c r="R662" s="83">
        <v>203758</v>
      </c>
      <c r="S662" s="83">
        <v>0</v>
      </c>
      <c r="T662" s="264">
        <f t="shared" ref="T662:T663" si="1403">SUM(R662:S662)</f>
        <v>203758</v>
      </c>
      <c r="U662" s="83">
        <v>203758</v>
      </c>
      <c r="V662" s="83">
        <v>0</v>
      </c>
      <c r="W662" s="264">
        <f t="shared" ref="W662:W663" si="1404">SUM(U662:V662)</f>
        <v>203758</v>
      </c>
      <c r="X662" s="83">
        <v>203758</v>
      </c>
      <c r="Y662" s="83">
        <v>0</v>
      </c>
      <c r="Z662" s="264">
        <f t="shared" ref="Z662:Z663" si="1405">SUM(X662:Y662)</f>
        <v>203758</v>
      </c>
      <c r="AA662" s="83">
        <v>203758</v>
      </c>
      <c r="AB662" s="83">
        <v>0</v>
      </c>
      <c r="AC662" s="264">
        <f t="shared" ref="AC662:AC663" si="1406">SUM(AA662:AB662)</f>
        <v>203758</v>
      </c>
      <c r="AD662" s="83">
        <f t="shared" si="1398"/>
        <v>1426306</v>
      </c>
      <c r="AE662" s="83">
        <f t="shared" si="1399"/>
        <v>0</v>
      </c>
      <c r="AF662" s="264">
        <f t="shared" ref="AF662:AF663" si="1407">AD662+AE662</f>
        <v>1426306</v>
      </c>
      <c r="AG662" s="83">
        <f>203758*3</f>
        <v>611274</v>
      </c>
      <c r="AH662" s="83">
        <v>0</v>
      </c>
      <c r="AI662" s="264">
        <f t="shared" ref="AI662:AI663" si="1408">SUM(AG662:AH662)</f>
        <v>611274</v>
      </c>
      <c r="AJ662" s="83">
        <v>0</v>
      </c>
      <c r="AK662" s="83">
        <v>0</v>
      </c>
      <c r="AL662" s="83"/>
      <c r="AM662" s="264">
        <f t="shared" si="1374"/>
        <v>0</v>
      </c>
      <c r="AN662" s="83">
        <f>203758*4</f>
        <v>815032</v>
      </c>
      <c r="AO662" s="83">
        <v>0</v>
      </c>
      <c r="AP662" s="264">
        <f t="shared" ref="AP662:AP663" si="1409">SUM(AN662:AO662)</f>
        <v>815032</v>
      </c>
      <c r="AQ662" s="578">
        <f t="shared" si="1375"/>
        <v>0</v>
      </c>
      <c r="AR662" s="47"/>
    </row>
    <row r="663" spans="2:44" ht="31.9" customHeight="1">
      <c r="B663" s="35" t="s">
        <v>1193</v>
      </c>
      <c r="C663" s="666" t="s">
        <v>1214</v>
      </c>
      <c r="D663" s="92"/>
      <c r="E663" s="663" t="s">
        <v>1609</v>
      </c>
      <c r="F663" s="663"/>
      <c r="G663" s="406">
        <v>2026</v>
      </c>
      <c r="H663" s="406">
        <v>2026</v>
      </c>
      <c r="I663" s="83">
        <v>203758</v>
      </c>
      <c r="J663" s="83">
        <v>0</v>
      </c>
      <c r="K663" s="264">
        <f t="shared" si="1400"/>
        <v>203758</v>
      </c>
      <c r="L663" s="83">
        <v>203758</v>
      </c>
      <c r="M663" s="83">
        <v>0</v>
      </c>
      <c r="N663" s="264">
        <f t="shared" si="1401"/>
        <v>203758</v>
      </c>
      <c r="O663" s="83">
        <v>203758</v>
      </c>
      <c r="P663" s="83">
        <v>0</v>
      </c>
      <c r="Q663" s="264">
        <f t="shared" si="1402"/>
        <v>203758</v>
      </c>
      <c r="R663" s="83">
        <v>203758</v>
      </c>
      <c r="S663" s="83">
        <v>0</v>
      </c>
      <c r="T663" s="264">
        <f t="shared" si="1403"/>
        <v>203758</v>
      </c>
      <c r="U663" s="83">
        <v>203758</v>
      </c>
      <c r="V663" s="83">
        <v>0</v>
      </c>
      <c r="W663" s="264">
        <f t="shared" si="1404"/>
        <v>203758</v>
      </c>
      <c r="X663" s="83">
        <v>203758</v>
      </c>
      <c r="Y663" s="83">
        <v>0</v>
      </c>
      <c r="Z663" s="264">
        <f t="shared" si="1405"/>
        <v>203758</v>
      </c>
      <c r="AA663" s="83">
        <v>203758</v>
      </c>
      <c r="AB663" s="83">
        <v>0</v>
      </c>
      <c r="AC663" s="264">
        <f t="shared" si="1406"/>
        <v>203758</v>
      </c>
      <c r="AD663" s="83">
        <f t="shared" si="1398"/>
        <v>1426306</v>
      </c>
      <c r="AE663" s="83">
        <v>0</v>
      </c>
      <c r="AF663" s="264">
        <f t="shared" si="1407"/>
        <v>1426306</v>
      </c>
      <c r="AG663" s="83">
        <f>203758*3</f>
        <v>611274</v>
      </c>
      <c r="AH663" s="83">
        <v>0</v>
      </c>
      <c r="AI663" s="264">
        <f t="shared" si="1408"/>
        <v>611274</v>
      </c>
      <c r="AJ663" s="83">
        <v>0</v>
      </c>
      <c r="AK663" s="83">
        <v>0</v>
      </c>
      <c r="AL663" s="83"/>
      <c r="AM663" s="264">
        <f t="shared" si="1374"/>
        <v>0</v>
      </c>
      <c r="AN663" s="83">
        <f>203758*4</f>
        <v>815032</v>
      </c>
      <c r="AO663" s="83">
        <v>0</v>
      </c>
      <c r="AP663" s="264">
        <f t="shared" si="1409"/>
        <v>815032</v>
      </c>
      <c r="AQ663" s="578">
        <f t="shared" si="1375"/>
        <v>0</v>
      </c>
      <c r="AR663" s="47"/>
    </row>
    <row r="664" spans="2:44" ht="31.9" customHeight="1">
      <c r="B664" s="210" t="s">
        <v>1206</v>
      </c>
      <c r="C664" s="571" t="s">
        <v>1217</v>
      </c>
      <c r="D664" s="217"/>
      <c r="E664" s="679" t="s">
        <v>69</v>
      </c>
      <c r="F664" s="679" t="s">
        <v>1223</v>
      </c>
      <c r="G664" s="570">
        <v>2024</v>
      </c>
      <c r="H664" s="570">
        <v>2030</v>
      </c>
      <c r="I664" s="197">
        <f>SUM(I665:I669)</f>
        <v>1200000</v>
      </c>
      <c r="J664" s="197">
        <f>SUM(J665:J669)</f>
        <v>0</v>
      </c>
      <c r="K664" s="197">
        <f>I664+J664</f>
        <v>1200000</v>
      </c>
      <c r="L664" s="197">
        <f>SUM(L665:L669)</f>
        <v>1211274</v>
      </c>
      <c r="M664" s="197">
        <f>SUM(M665:M669)</f>
        <v>0</v>
      </c>
      <c r="N664" s="197">
        <f>L664+M664</f>
        <v>1211274</v>
      </c>
      <c r="O664" s="197">
        <f>SUM(O665:O669)</f>
        <v>1211274</v>
      </c>
      <c r="P664" s="197">
        <f>SUM(P665:P669)</f>
        <v>0</v>
      </c>
      <c r="Q664" s="197">
        <f>O664+P664</f>
        <v>1211274</v>
      </c>
      <c r="R664" s="197">
        <f>SUM(R665:R669)</f>
        <v>1211274</v>
      </c>
      <c r="S664" s="197">
        <f>SUM(S665:S669)</f>
        <v>0</v>
      </c>
      <c r="T664" s="197">
        <f>R664+S664</f>
        <v>1211274</v>
      </c>
      <c r="U664" s="197">
        <f>SUM(U665:U669)</f>
        <v>1211274</v>
      </c>
      <c r="V664" s="197">
        <f>SUM(V665:V669)</f>
        <v>0</v>
      </c>
      <c r="W664" s="197">
        <f>U664+V664</f>
        <v>1211274</v>
      </c>
      <c r="X664" s="197">
        <f>SUM(X665:X669)</f>
        <v>1211274</v>
      </c>
      <c r="Y664" s="197">
        <f>SUM(Y665:Y669)</f>
        <v>0</v>
      </c>
      <c r="Z664" s="197">
        <f>SUM(X664:Y664)</f>
        <v>1211274</v>
      </c>
      <c r="AA664" s="197">
        <f>SUM(AA665:AA669)</f>
        <v>1211274</v>
      </c>
      <c r="AB664" s="197">
        <f>SUM(AB665:AB669)</f>
        <v>0</v>
      </c>
      <c r="AC664" s="197">
        <f>SUM(AA664:AB664)</f>
        <v>1211274</v>
      </c>
      <c r="AD664" s="197">
        <f t="shared" ref="AD664:AD669" si="1410">I664+L664+O664+R664+U664+X664+AA664</f>
        <v>8467644</v>
      </c>
      <c r="AE664" s="197">
        <f t="shared" ref="AE664:AE669" si="1411">J664+M664+P664+S664+V664+Y664+AB664</f>
        <v>0</v>
      </c>
      <c r="AF664" s="197">
        <f>AD664+AE664</f>
        <v>8467644</v>
      </c>
      <c r="AG664" s="197">
        <f>SUM(AG665:AG669)</f>
        <v>2422548</v>
      </c>
      <c r="AH664" s="197">
        <f>SUM(AH665:AH669)</f>
        <v>0</v>
      </c>
      <c r="AI664" s="197">
        <f>AG664+AH664</f>
        <v>2422548</v>
      </c>
      <c r="AJ664" s="197">
        <f>SUM(AJ665:AJ669)</f>
        <v>0</v>
      </c>
      <c r="AK664" s="197">
        <f>SUM(AK665:AK669)</f>
        <v>0</v>
      </c>
      <c r="AL664" s="197"/>
      <c r="AM664" s="197">
        <f t="shared" si="1374"/>
        <v>0</v>
      </c>
      <c r="AN664" s="197">
        <f>SUM(AN665:AN669)</f>
        <v>4845096</v>
      </c>
      <c r="AO664" s="197">
        <f>SUM(AO665:AO669)</f>
        <v>0</v>
      </c>
      <c r="AP664" s="197">
        <f>AN664+AO664</f>
        <v>4845096</v>
      </c>
      <c r="AQ664" s="577">
        <f t="shared" si="1375"/>
        <v>-1200000</v>
      </c>
      <c r="AR664" s="47"/>
    </row>
    <row r="665" spans="2:44" ht="31.9" customHeight="1">
      <c r="B665" s="35" t="s">
        <v>1207</v>
      </c>
      <c r="C665" s="666" t="s">
        <v>1218</v>
      </c>
      <c r="D665" s="92"/>
      <c r="E665" s="663" t="s">
        <v>69</v>
      </c>
      <c r="F665" s="663" t="s">
        <v>1223</v>
      </c>
      <c r="G665" s="406">
        <v>2025</v>
      </c>
      <c r="H665" s="406">
        <v>2030</v>
      </c>
      <c r="I665" s="83">
        <v>0</v>
      </c>
      <c r="J665" s="83">
        <v>0</v>
      </c>
      <c r="K665" s="264">
        <f t="shared" ref="K665:K669" si="1412">SUM(I665:J665)</f>
        <v>0</v>
      </c>
      <c r="L665" s="83">
        <v>407516</v>
      </c>
      <c r="M665" s="83">
        <v>0</v>
      </c>
      <c r="N665" s="264">
        <f t="shared" ref="N665:N669" si="1413">SUM(L665:M665)</f>
        <v>407516</v>
      </c>
      <c r="O665" s="83">
        <v>407516</v>
      </c>
      <c r="P665" s="83">
        <v>0</v>
      </c>
      <c r="Q665" s="264">
        <f t="shared" ref="Q665:Q669" si="1414">SUM(O665:P665)</f>
        <v>407516</v>
      </c>
      <c r="R665" s="83">
        <v>407516</v>
      </c>
      <c r="S665" s="83">
        <v>0</v>
      </c>
      <c r="T665" s="264">
        <f t="shared" ref="T665:T669" si="1415">SUM(R665:S665)</f>
        <v>407516</v>
      </c>
      <c r="U665" s="83">
        <v>407516</v>
      </c>
      <c r="V665" s="83">
        <v>0</v>
      </c>
      <c r="W665" s="264">
        <f t="shared" ref="W665:W669" si="1416">SUM(U665:V665)</f>
        <v>407516</v>
      </c>
      <c r="X665" s="83">
        <v>407516</v>
      </c>
      <c r="Y665" s="83">
        <v>0</v>
      </c>
      <c r="Z665" s="264">
        <f t="shared" ref="Z665:Z669" si="1417">SUM(X665:Y665)</f>
        <v>407516</v>
      </c>
      <c r="AA665" s="83">
        <v>407516</v>
      </c>
      <c r="AB665" s="83">
        <v>0</v>
      </c>
      <c r="AC665" s="264">
        <f t="shared" ref="AC665:AC669" si="1418">SUM(AA665:AB665)</f>
        <v>407516</v>
      </c>
      <c r="AD665" s="83">
        <f t="shared" si="1410"/>
        <v>2445096</v>
      </c>
      <c r="AE665" s="83">
        <f t="shared" si="1411"/>
        <v>0</v>
      </c>
      <c r="AF665" s="264">
        <f t="shared" ref="AF665:AF669" si="1419">AD665+AE665</f>
        <v>2445096</v>
      </c>
      <c r="AG665" s="83">
        <f>407516*2</f>
        <v>815032</v>
      </c>
      <c r="AH665" s="83">
        <v>0</v>
      </c>
      <c r="AI665" s="264">
        <f t="shared" ref="AI665:AI669" si="1420">SUM(AG665:AH665)</f>
        <v>815032</v>
      </c>
      <c r="AJ665" s="83">
        <v>0</v>
      </c>
      <c r="AK665" s="83">
        <v>0</v>
      </c>
      <c r="AL665" s="83"/>
      <c r="AM665" s="264">
        <f t="shared" si="1374"/>
        <v>0</v>
      </c>
      <c r="AN665" s="83">
        <f>407516*4</f>
        <v>1630064</v>
      </c>
      <c r="AO665" s="83">
        <v>0</v>
      </c>
      <c r="AP665" s="264">
        <f t="shared" ref="AP665:AP669" si="1421">SUM(AN665:AO665)</f>
        <v>1630064</v>
      </c>
      <c r="AQ665" s="578">
        <f t="shared" si="1375"/>
        <v>0</v>
      </c>
      <c r="AR665" s="47"/>
    </row>
    <row r="666" spans="2:44" ht="31.9" customHeight="1">
      <c r="B666" s="35" t="s">
        <v>1208</v>
      </c>
      <c r="C666" s="666" t="s">
        <v>1219</v>
      </c>
      <c r="D666" s="92"/>
      <c r="E666" s="663" t="s">
        <v>69</v>
      </c>
      <c r="F666" s="663" t="s">
        <v>1223</v>
      </c>
      <c r="G666" s="406">
        <v>2025</v>
      </c>
      <c r="H666" s="406">
        <v>2030</v>
      </c>
      <c r="I666" s="83">
        <v>0</v>
      </c>
      <c r="J666" s="83">
        <v>0</v>
      </c>
      <c r="K666" s="264">
        <f t="shared" si="1412"/>
        <v>0</v>
      </c>
      <c r="L666" s="83">
        <v>203758</v>
      </c>
      <c r="M666" s="83">
        <v>0</v>
      </c>
      <c r="N666" s="264">
        <f t="shared" si="1413"/>
        <v>203758</v>
      </c>
      <c r="O666" s="83">
        <v>203758</v>
      </c>
      <c r="P666" s="83">
        <v>0</v>
      </c>
      <c r="Q666" s="264">
        <f t="shared" si="1414"/>
        <v>203758</v>
      </c>
      <c r="R666" s="83">
        <v>203758</v>
      </c>
      <c r="S666" s="83">
        <v>0</v>
      </c>
      <c r="T666" s="264">
        <f t="shared" si="1415"/>
        <v>203758</v>
      </c>
      <c r="U666" s="83">
        <v>203758</v>
      </c>
      <c r="V666" s="83">
        <v>0</v>
      </c>
      <c r="W666" s="264">
        <f t="shared" si="1416"/>
        <v>203758</v>
      </c>
      <c r="X666" s="83">
        <v>203758</v>
      </c>
      <c r="Y666" s="83">
        <v>0</v>
      </c>
      <c r="Z666" s="264">
        <f t="shared" si="1417"/>
        <v>203758</v>
      </c>
      <c r="AA666" s="83">
        <v>203758</v>
      </c>
      <c r="AB666" s="83">
        <v>0</v>
      </c>
      <c r="AC666" s="264">
        <f t="shared" si="1418"/>
        <v>203758</v>
      </c>
      <c r="AD666" s="83">
        <f t="shared" si="1410"/>
        <v>1222548</v>
      </c>
      <c r="AE666" s="83">
        <f t="shared" si="1411"/>
        <v>0</v>
      </c>
      <c r="AF666" s="264">
        <f t="shared" si="1419"/>
        <v>1222548</v>
      </c>
      <c r="AG666" s="83">
        <f>203758*2</f>
        <v>407516</v>
      </c>
      <c r="AH666" s="83">
        <v>0</v>
      </c>
      <c r="AI666" s="264">
        <f t="shared" si="1420"/>
        <v>407516</v>
      </c>
      <c r="AJ666" s="83">
        <v>0</v>
      </c>
      <c r="AK666" s="83">
        <v>0</v>
      </c>
      <c r="AL666" s="83"/>
      <c r="AM666" s="264">
        <f t="shared" si="1374"/>
        <v>0</v>
      </c>
      <c r="AN666" s="83">
        <f>203758*4</f>
        <v>815032</v>
      </c>
      <c r="AO666" s="83"/>
      <c r="AP666" s="264">
        <f t="shared" si="1421"/>
        <v>815032</v>
      </c>
      <c r="AQ666" s="578">
        <f t="shared" si="1375"/>
        <v>0</v>
      </c>
      <c r="AR666" s="47"/>
    </row>
    <row r="667" spans="2:44" ht="31.9" customHeight="1">
      <c r="B667" s="35" t="s">
        <v>1209</v>
      </c>
      <c r="C667" s="666" t="s">
        <v>1220</v>
      </c>
      <c r="D667" s="92"/>
      <c r="E667" s="663" t="s">
        <v>69</v>
      </c>
      <c r="F667" s="663" t="s">
        <v>1223</v>
      </c>
      <c r="G667" s="406">
        <v>2025</v>
      </c>
      <c r="H667" s="406">
        <v>2030</v>
      </c>
      <c r="I667" s="83">
        <v>0</v>
      </c>
      <c r="J667" s="83">
        <v>0</v>
      </c>
      <c r="K667" s="264">
        <f t="shared" si="1412"/>
        <v>0</v>
      </c>
      <c r="L667" s="83">
        <v>0</v>
      </c>
      <c r="M667" s="83">
        <v>0</v>
      </c>
      <c r="N667" s="264">
        <f t="shared" si="1413"/>
        <v>0</v>
      </c>
      <c r="O667" s="83">
        <v>0</v>
      </c>
      <c r="P667" s="83">
        <v>0</v>
      </c>
      <c r="Q667" s="264">
        <f t="shared" si="1414"/>
        <v>0</v>
      </c>
      <c r="R667" s="83">
        <v>0</v>
      </c>
      <c r="S667" s="83">
        <v>0</v>
      </c>
      <c r="T667" s="264">
        <f t="shared" si="1415"/>
        <v>0</v>
      </c>
      <c r="U667" s="83">
        <v>0</v>
      </c>
      <c r="V667" s="83">
        <v>0</v>
      </c>
      <c r="W667" s="264">
        <f t="shared" si="1416"/>
        <v>0</v>
      </c>
      <c r="X667" s="83">
        <v>0</v>
      </c>
      <c r="Y667" s="83">
        <v>0</v>
      </c>
      <c r="Z667" s="264">
        <f t="shared" si="1417"/>
        <v>0</v>
      </c>
      <c r="AA667" s="83">
        <v>0</v>
      </c>
      <c r="AB667" s="83">
        <v>0</v>
      </c>
      <c r="AC667" s="264">
        <f t="shared" si="1418"/>
        <v>0</v>
      </c>
      <c r="AD667" s="83">
        <f t="shared" si="1410"/>
        <v>0</v>
      </c>
      <c r="AE667" s="83">
        <f t="shared" si="1411"/>
        <v>0</v>
      </c>
      <c r="AF667" s="264">
        <f t="shared" si="1419"/>
        <v>0</v>
      </c>
      <c r="AG667" s="83">
        <v>0</v>
      </c>
      <c r="AH667" s="83">
        <v>0</v>
      </c>
      <c r="AI667" s="264">
        <f t="shared" si="1420"/>
        <v>0</v>
      </c>
      <c r="AJ667" s="83">
        <v>0</v>
      </c>
      <c r="AK667" s="83">
        <v>0</v>
      </c>
      <c r="AL667" s="83"/>
      <c r="AM667" s="264">
        <f t="shared" si="1374"/>
        <v>0</v>
      </c>
      <c r="AN667" s="83">
        <v>0</v>
      </c>
      <c r="AO667" s="83">
        <v>0</v>
      </c>
      <c r="AP667" s="264">
        <f t="shared" si="1421"/>
        <v>0</v>
      </c>
      <c r="AQ667" s="578">
        <f t="shared" si="1375"/>
        <v>0</v>
      </c>
      <c r="AR667" s="47"/>
    </row>
    <row r="668" spans="2:44" ht="31.9" customHeight="1">
      <c r="B668" s="35" t="s">
        <v>1210</v>
      </c>
      <c r="C668" s="666" t="s">
        <v>1221</v>
      </c>
      <c r="D668" s="92"/>
      <c r="E668" s="663" t="s">
        <v>69</v>
      </c>
      <c r="F668" s="663" t="s">
        <v>1223</v>
      </c>
      <c r="G668" s="406">
        <v>2025</v>
      </c>
      <c r="H668" s="406">
        <v>2030</v>
      </c>
      <c r="I668" s="83">
        <v>0</v>
      </c>
      <c r="J668" s="83">
        <v>0</v>
      </c>
      <c r="K668" s="264">
        <f t="shared" si="1412"/>
        <v>0</v>
      </c>
      <c r="L668" s="83">
        <v>600000</v>
      </c>
      <c r="M668" s="83">
        <v>0</v>
      </c>
      <c r="N668" s="264">
        <f t="shared" si="1413"/>
        <v>600000</v>
      </c>
      <c r="O668" s="83">
        <v>600000</v>
      </c>
      <c r="P668" s="83">
        <v>0</v>
      </c>
      <c r="Q668" s="264">
        <f t="shared" si="1414"/>
        <v>600000</v>
      </c>
      <c r="R668" s="83">
        <v>600000</v>
      </c>
      <c r="S668" s="83">
        <v>0</v>
      </c>
      <c r="T668" s="264">
        <f t="shared" si="1415"/>
        <v>600000</v>
      </c>
      <c r="U668" s="83">
        <v>600000</v>
      </c>
      <c r="V668" s="83">
        <v>0</v>
      </c>
      <c r="W668" s="264">
        <f t="shared" si="1416"/>
        <v>600000</v>
      </c>
      <c r="X668" s="83">
        <v>600000</v>
      </c>
      <c r="Y668" s="83">
        <v>0</v>
      </c>
      <c r="Z668" s="264">
        <f t="shared" si="1417"/>
        <v>600000</v>
      </c>
      <c r="AA668" s="83">
        <v>600000</v>
      </c>
      <c r="AB668" s="83">
        <v>0</v>
      </c>
      <c r="AC668" s="264">
        <f t="shared" si="1418"/>
        <v>600000</v>
      </c>
      <c r="AD668" s="83">
        <f t="shared" si="1410"/>
        <v>3600000</v>
      </c>
      <c r="AE668" s="83">
        <f t="shared" si="1411"/>
        <v>0</v>
      </c>
      <c r="AF668" s="264">
        <f t="shared" si="1419"/>
        <v>3600000</v>
      </c>
      <c r="AG668" s="83">
        <v>1200000</v>
      </c>
      <c r="AH668" s="83">
        <v>0</v>
      </c>
      <c r="AI668" s="264">
        <f t="shared" si="1420"/>
        <v>1200000</v>
      </c>
      <c r="AJ668" s="83">
        <v>0</v>
      </c>
      <c r="AK668" s="83">
        <v>0</v>
      </c>
      <c r="AL668" s="83"/>
      <c r="AM668" s="264">
        <f t="shared" si="1374"/>
        <v>0</v>
      </c>
      <c r="AN668" s="83">
        <v>2400000</v>
      </c>
      <c r="AO668" s="83"/>
      <c r="AP668" s="264">
        <f t="shared" si="1421"/>
        <v>2400000</v>
      </c>
      <c r="AQ668" s="578">
        <f t="shared" si="1375"/>
        <v>0</v>
      </c>
      <c r="AR668" s="47"/>
    </row>
    <row r="669" spans="2:44" ht="31.9" customHeight="1">
      <c r="B669" s="35" t="s">
        <v>1211</v>
      </c>
      <c r="C669" s="666" t="s">
        <v>1222</v>
      </c>
      <c r="D669" s="92"/>
      <c r="E669" s="663" t="s">
        <v>1224</v>
      </c>
      <c r="F669" s="663"/>
      <c r="G669" s="406">
        <v>2024</v>
      </c>
      <c r="H669" s="406">
        <v>2024</v>
      </c>
      <c r="I669" s="83">
        <v>1200000</v>
      </c>
      <c r="J669" s="83">
        <v>0</v>
      </c>
      <c r="K669" s="264">
        <f t="shared" si="1412"/>
        <v>1200000</v>
      </c>
      <c r="L669" s="83">
        <v>0</v>
      </c>
      <c r="M669" s="83">
        <v>0</v>
      </c>
      <c r="N669" s="264">
        <f t="shared" si="1413"/>
        <v>0</v>
      </c>
      <c r="O669" s="83">
        <v>0</v>
      </c>
      <c r="P669" s="83">
        <v>0</v>
      </c>
      <c r="Q669" s="264">
        <f t="shared" si="1414"/>
        <v>0</v>
      </c>
      <c r="R669" s="83">
        <v>0</v>
      </c>
      <c r="S669" s="83">
        <v>0</v>
      </c>
      <c r="T669" s="264">
        <f t="shared" si="1415"/>
        <v>0</v>
      </c>
      <c r="U669" s="83">
        <v>0</v>
      </c>
      <c r="V669" s="83">
        <v>0</v>
      </c>
      <c r="W669" s="264">
        <f t="shared" si="1416"/>
        <v>0</v>
      </c>
      <c r="X669" s="83">
        <v>0</v>
      </c>
      <c r="Y669" s="83">
        <v>0</v>
      </c>
      <c r="Z669" s="264">
        <f t="shared" si="1417"/>
        <v>0</v>
      </c>
      <c r="AA669" s="83">
        <v>0</v>
      </c>
      <c r="AB669" s="83">
        <v>0</v>
      </c>
      <c r="AC669" s="264">
        <f t="shared" si="1418"/>
        <v>0</v>
      </c>
      <c r="AD669" s="83">
        <f t="shared" si="1410"/>
        <v>1200000</v>
      </c>
      <c r="AE669" s="83">
        <f t="shared" si="1411"/>
        <v>0</v>
      </c>
      <c r="AF669" s="264">
        <f t="shared" si="1419"/>
        <v>1200000</v>
      </c>
      <c r="AG669" s="83">
        <v>0</v>
      </c>
      <c r="AH669" s="83">
        <v>0</v>
      </c>
      <c r="AI669" s="264">
        <f t="shared" si="1420"/>
        <v>0</v>
      </c>
      <c r="AJ669" s="83">
        <v>0</v>
      </c>
      <c r="AK669" s="83">
        <v>0</v>
      </c>
      <c r="AL669" s="83"/>
      <c r="AM669" s="264">
        <f t="shared" si="1374"/>
        <v>0</v>
      </c>
      <c r="AN669" s="83">
        <v>0</v>
      </c>
      <c r="AO669" s="83">
        <v>0</v>
      </c>
      <c r="AP669" s="264">
        <f t="shared" si="1421"/>
        <v>0</v>
      </c>
      <c r="AQ669" s="578">
        <f t="shared" si="1375"/>
        <v>-1200000</v>
      </c>
      <c r="AR669" s="47"/>
    </row>
    <row r="670" spans="2:44" ht="31.9" customHeight="1">
      <c r="B670" s="210" t="s">
        <v>1215</v>
      </c>
      <c r="C670" s="571" t="s">
        <v>1231</v>
      </c>
      <c r="D670" s="92"/>
      <c r="E670" s="570" t="s">
        <v>1233</v>
      </c>
      <c r="F670" s="570"/>
      <c r="G670" s="570">
        <v>2024</v>
      </c>
      <c r="H670" s="570">
        <v>2030</v>
      </c>
      <c r="I670" s="197">
        <f>SUM(I671:I671)</f>
        <v>817342</v>
      </c>
      <c r="J670" s="197">
        <f>SUM(J671:J671)</f>
        <v>0</v>
      </c>
      <c r="K670" s="197">
        <f>I670+J670</f>
        <v>817342</v>
      </c>
      <c r="L670" s="197">
        <f>SUM(L671:L671)</f>
        <v>817342</v>
      </c>
      <c r="M670" s="197">
        <f>SUM(M671:M671)</f>
        <v>0</v>
      </c>
      <c r="N670" s="197">
        <f>L670+M670</f>
        <v>817342</v>
      </c>
      <c r="O670" s="197">
        <f>SUM(O671:O671)</f>
        <v>817342</v>
      </c>
      <c r="P670" s="197">
        <f>SUM(P671:P671)</f>
        <v>0</v>
      </c>
      <c r="Q670" s="197">
        <f>O670+P670</f>
        <v>817342</v>
      </c>
      <c r="R670" s="197">
        <f>SUM(R671:R671)</f>
        <v>817342</v>
      </c>
      <c r="S670" s="197">
        <f>SUM(S671:S671)</f>
        <v>0</v>
      </c>
      <c r="T670" s="197">
        <f>R670+S670</f>
        <v>817342</v>
      </c>
      <c r="U670" s="197">
        <f>SUM(U671:U671)</f>
        <v>817342</v>
      </c>
      <c r="V670" s="197">
        <f>SUM(V671:V671)</f>
        <v>0</v>
      </c>
      <c r="W670" s="197">
        <f>U670+V670</f>
        <v>817342</v>
      </c>
      <c r="X670" s="197">
        <f>SUM(X671:X671)</f>
        <v>817342</v>
      </c>
      <c r="Y670" s="197">
        <f>SUM(Y671:Y671)</f>
        <v>0</v>
      </c>
      <c r="Z670" s="197">
        <f>SUM(Z671:Z671)</f>
        <v>817342</v>
      </c>
      <c r="AA670" s="197">
        <f>SUM(AA671:AA671)</f>
        <v>817342</v>
      </c>
      <c r="AB670" s="197">
        <f>SUM(AB671:AB671)</f>
        <v>0</v>
      </c>
      <c r="AC670" s="197">
        <f>SUM(AA670:AB670)</f>
        <v>817342</v>
      </c>
      <c r="AD670" s="197">
        <f t="shared" ref="AD670:AD671" si="1422">I670+L670+O670+R670+U670+X670+AA670</f>
        <v>5721394</v>
      </c>
      <c r="AE670" s="197">
        <f t="shared" ref="AE670:AE671" si="1423">J670+M670+P670+S670+V670+Y670+AB670</f>
        <v>0</v>
      </c>
      <c r="AF670" s="197">
        <f>AD670+AE670</f>
        <v>5721394</v>
      </c>
      <c r="AG670" s="197">
        <f>SUM(AG671:AG671)</f>
        <v>2452026</v>
      </c>
      <c r="AH670" s="197">
        <f>SUM(AH671:AH671)</f>
        <v>0</v>
      </c>
      <c r="AI670" s="197">
        <f>AG670+AH670</f>
        <v>2452026</v>
      </c>
      <c r="AJ670" s="197">
        <f>SUM(AJ671:AJ671)</f>
        <v>0</v>
      </c>
      <c r="AK670" s="197">
        <f>SUM(AK671:AK671)</f>
        <v>0</v>
      </c>
      <c r="AL670" s="197"/>
      <c r="AM670" s="197">
        <f t="shared" si="1374"/>
        <v>0</v>
      </c>
      <c r="AN670" s="197">
        <f>SUM(AN671:AN671)</f>
        <v>3269368</v>
      </c>
      <c r="AO670" s="197">
        <f>SUM(AO671:AO671)</f>
        <v>0</v>
      </c>
      <c r="AP670" s="197">
        <f>AN670+AO670</f>
        <v>3269368</v>
      </c>
      <c r="AQ670" s="577">
        <f t="shared" si="1375"/>
        <v>0</v>
      </c>
      <c r="AR670" s="47"/>
    </row>
    <row r="671" spans="2:44" ht="31.9" customHeight="1">
      <c r="B671" s="35" t="s">
        <v>1216</v>
      </c>
      <c r="C671" s="572" t="s">
        <v>1232</v>
      </c>
      <c r="D671" s="92"/>
      <c r="E671" s="93" t="s">
        <v>1233</v>
      </c>
      <c r="F671" s="93"/>
      <c r="G671" s="611">
        <v>2024</v>
      </c>
      <c r="H671" s="406">
        <v>2030</v>
      </c>
      <c r="I671" s="83">
        <v>817342</v>
      </c>
      <c r="J671" s="83">
        <v>0</v>
      </c>
      <c r="K671" s="264">
        <f t="shared" ref="K671" si="1424">SUM(I671:J671)</f>
        <v>817342</v>
      </c>
      <c r="L671" s="83">
        <v>817342</v>
      </c>
      <c r="M671" s="83">
        <v>0</v>
      </c>
      <c r="N671" s="264">
        <f t="shared" ref="N671" si="1425">SUM(L671:M671)</f>
        <v>817342</v>
      </c>
      <c r="O671" s="83">
        <v>817342</v>
      </c>
      <c r="P671" s="83">
        <v>0</v>
      </c>
      <c r="Q671" s="264">
        <f t="shared" ref="Q671" si="1426">SUM(O671:P671)</f>
        <v>817342</v>
      </c>
      <c r="R671" s="83">
        <v>817342</v>
      </c>
      <c r="S671" s="83">
        <v>0</v>
      </c>
      <c r="T671" s="264">
        <f t="shared" ref="T671" si="1427">SUM(R671:S671)</f>
        <v>817342</v>
      </c>
      <c r="U671" s="83">
        <v>817342</v>
      </c>
      <c r="V671" s="83">
        <v>0</v>
      </c>
      <c r="W671" s="264">
        <f t="shared" ref="W671" si="1428">SUM(U671:V671)</f>
        <v>817342</v>
      </c>
      <c r="X671" s="83">
        <v>817342</v>
      </c>
      <c r="Y671" s="83">
        <v>0</v>
      </c>
      <c r="Z671" s="264">
        <f t="shared" ref="Z671" si="1429">SUM(X671:Y671)</f>
        <v>817342</v>
      </c>
      <c r="AA671" s="83">
        <v>817342</v>
      </c>
      <c r="AB671" s="83">
        <v>0</v>
      </c>
      <c r="AC671" s="264">
        <f t="shared" ref="AC671" si="1430">SUM(AA671:AB671)</f>
        <v>817342</v>
      </c>
      <c r="AD671" s="83">
        <f t="shared" si="1422"/>
        <v>5721394</v>
      </c>
      <c r="AE671" s="83">
        <f t="shared" si="1423"/>
        <v>0</v>
      </c>
      <c r="AF671" s="264">
        <f t="shared" ref="AF671" si="1431">AD671+AE671</f>
        <v>5721394</v>
      </c>
      <c r="AG671" s="83">
        <f>817342*3</f>
        <v>2452026</v>
      </c>
      <c r="AH671" s="83">
        <v>0</v>
      </c>
      <c r="AI671" s="264">
        <f t="shared" ref="AI671" si="1432">SUM(AG671:AH671)</f>
        <v>2452026</v>
      </c>
      <c r="AJ671" s="83">
        <v>0</v>
      </c>
      <c r="AK671" s="83">
        <v>0</v>
      </c>
      <c r="AL671" s="83"/>
      <c r="AM671" s="264">
        <f t="shared" si="1374"/>
        <v>0</v>
      </c>
      <c r="AN671" s="83">
        <f>817342*4</f>
        <v>3269368</v>
      </c>
      <c r="AO671" s="83">
        <v>0</v>
      </c>
      <c r="AP671" s="264">
        <f t="shared" ref="AP671" si="1433">SUM(AN671:AO671)</f>
        <v>3269368</v>
      </c>
      <c r="AQ671" s="578">
        <f t="shared" si="1375"/>
        <v>0</v>
      </c>
      <c r="AR671" s="47"/>
    </row>
    <row r="672" spans="2:44" ht="31.9" customHeight="1" thickBot="1">
      <c r="B672" s="210" t="s">
        <v>1225</v>
      </c>
      <c r="C672" s="571" t="s">
        <v>1234</v>
      </c>
      <c r="D672" s="217"/>
      <c r="E672" s="799" t="s">
        <v>1609</v>
      </c>
      <c r="F672" s="799"/>
      <c r="G672" s="752">
        <v>2025</v>
      </c>
      <c r="H672" s="570">
        <v>2030</v>
      </c>
      <c r="I672" s="197">
        <f>SUM(I673:I677)</f>
        <v>0</v>
      </c>
      <c r="J672" s="197">
        <f>SUM(J673:J677)</f>
        <v>0</v>
      </c>
      <c r="K672" s="197">
        <f>I672+J672</f>
        <v>0</v>
      </c>
      <c r="L672" s="197">
        <f>SUM(L673:L677)</f>
        <v>611268</v>
      </c>
      <c r="M672" s="197">
        <f>SUM(M673:M677)</f>
        <v>0</v>
      </c>
      <c r="N672" s="197">
        <f>L672+M672</f>
        <v>611268</v>
      </c>
      <c r="O672" s="197">
        <f>SUM(O673:O677)</f>
        <v>611268</v>
      </c>
      <c r="P672" s="197">
        <f>SUM(P673:P677)</f>
        <v>0</v>
      </c>
      <c r="Q672" s="197">
        <f>O672+P672</f>
        <v>611268</v>
      </c>
      <c r="R672" s="197">
        <f>SUM(R673:R677)</f>
        <v>611268</v>
      </c>
      <c r="S672" s="197">
        <f>SUM(S673:S677)</f>
        <v>0</v>
      </c>
      <c r="T672" s="197">
        <f>R672+S672</f>
        <v>611268</v>
      </c>
      <c r="U672" s="197">
        <f>SUM(U673:U677)</f>
        <v>611268</v>
      </c>
      <c r="V672" s="197">
        <f>SUM(V673:V677)</f>
        <v>0</v>
      </c>
      <c r="W672" s="197">
        <f>U672+V672</f>
        <v>611268</v>
      </c>
      <c r="X672" s="197">
        <f>SUM(X673:X677)</f>
        <v>611268</v>
      </c>
      <c r="Y672" s="197">
        <f>SUM(Y673:Y677)</f>
        <v>0</v>
      </c>
      <c r="Z672" s="197">
        <f>SUM(X672:Y672)</f>
        <v>611268</v>
      </c>
      <c r="AA672" s="197">
        <f>SUM(AA673:AA677)</f>
        <v>611268</v>
      </c>
      <c r="AB672" s="197">
        <f>SUM(AB673:AB677)</f>
        <v>0</v>
      </c>
      <c r="AC672" s="197">
        <f>SUM(AA672:AB672)</f>
        <v>611268</v>
      </c>
      <c r="AD672" s="197">
        <f t="shared" ref="AD672:AD677" si="1434">I672+L672+O672+R672+U672+X672+AA672</f>
        <v>3667608</v>
      </c>
      <c r="AE672" s="197">
        <f t="shared" ref="AE672:AE677" si="1435">J672+M672+P672+S672+V672+Y672+AB672</f>
        <v>0</v>
      </c>
      <c r="AF672" s="197">
        <f>AD672+AE672</f>
        <v>3667608</v>
      </c>
      <c r="AG672" s="197">
        <f>SUM(AG673:AG677)</f>
        <v>1222536</v>
      </c>
      <c r="AH672" s="197">
        <f>SUM(AH673:AH677)</f>
        <v>0</v>
      </c>
      <c r="AI672" s="197">
        <f>AG672+AH672</f>
        <v>1222536</v>
      </c>
      <c r="AJ672" s="197">
        <f>SUM(AJ673:AJ677)</f>
        <v>0</v>
      </c>
      <c r="AK672" s="197">
        <f>SUM(AK673:AK677)</f>
        <v>0</v>
      </c>
      <c r="AL672" s="197"/>
      <c r="AM672" s="197">
        <f t="shared" si="1374"/>
        <v>0</v>
      </c>
      <c r="AN672" s="197">
        <f>SUM(AN673:AN677)</f>
        <v>2445072</v>
      </c>
      <c r="AO672" s="197">
        <f>SUM(AO673:AO677)</f>
        <v>0</v>
      </c>
      <c r="AP672" s="197">
        <f>AN672+AO672</f>
        <v>2445072</v>
      </c>
      <c r="AQ672" s="577">
        <f t="shared" si="1375"/>
        <v>0</v>
      </c>
      <c r="AR672" s="47"/>
    </row>
    <row r="673" spans="2:44" ht="31.9" customHeight="1">
      <c r="B673" s="35" t="s">
        <v>1226</v>
      </c>
      <c r="C673" s="665" t="s">
        <v>1235</v>
      </c>
      <c r="D673" s="92"/>
      <c r="E673" s="663" t="s">
        <v>1609</v>
      </c>
      <c r="F673" s="663"/>
      <c r="G673" s="611">
        <v>2025</v>
      </c>
      <c r="H673" s="406">
        <v>2030</v>
      </c>
      <c r="I673" s="83">
        <v>0</v>
      </c>
      <c r="J673" s="83">
        <v>0</v>
      </c>
      <c r="K673" s="264">
        <f t="shared" ref="K673:K677" si="1436">SUM(I673:J673)</f>
        <v>0</v>
      </c>
      <c r="L673" s="83">
        <v>203756</v>
      </c>
      <c r="M673" s="83">
        <v>0</v>
      </c>
      <c r="N673" s="264">
        <f t="shared" ref="N673:N677" si="1437">SUM(L673:M673)</f>
        <v>203756</v>
      </c>
      <c r="O673" s="83">
        <v>203756</v>
      </c>
      <c r="P673" s="83">
        <v>0</v>
      </c>
      <c r="Q673" s="264">
        <f t="shared" ref="Q673:Q677" si="1438">SUM(O673:P673)</f>
        <v>203756</v>
      </c>
      <c r="R673" s="83">
        <v>203756</v>
      </c>
      <c r="S673" s="83">
        <v>0</v>
      </c>
      <c r="T673" s="264">
        <f t="shared" ref="T673:T677" si="1439">SUM(R673:S673)</f>
        <v>203756</v>
      </c>
      <c r="U673" s="83">
        <v>203756</v>
      </c>
      <c r="V673" s="83">
        <v>0</v>
      </c>
      <c r="W673" s="264">
        <f t="shared" ref="W673:W677" si="1440">SUM(U673:V673)</f>
        <v>203756</v>
      </c>
      <c r="X673" s="83">
        <v>203756</v>
      </c>
      <c r="Y673" s="83">
        <v>0</v>
      </c>
      <c r="Z673" s="264">
        <f t="shared" ref="Z673:Z677" si="1441">SUM(X673:Y673)</f>
        <v>203756</v>
      </c>
      <c r="AA673" s="83">
        <v>203756</v>
      </c>
      <c r="AB673" s="83">
        <v>0</v>
      </c>
      <c r="AC673" s="264">
        <f t="shared" ref="AC673:AC677" si="1442">SUM(AA673:AB673)</f>
        <v>203756</v>
      </c>
      <c r="AD673" s="83">
        <f t="shared" si="1434"/>
        <v>1222536</v>
      </c>
      <c r="AE673" s="83">
        <f t="shared" si="1435"/>
        <v>0</v>
      </c>
      <c r="AF673" s="264">
        <f t="shared" ref="AF673:AF677" si="1443">AD673+AE673</f>
        <v>1222536</v>
      </c>
      <c r="AG673" s="83">
        <f>203756*2</f>
        <v>407512</v>
      </c>
      <c r="AH673" s="83">
        <v>0</v>
      </c>
      <c r="AI673" s="264">
        <f t="shared" ref="AI673:AI677" si="1444">SUM(AG673:AH673)</f>
        <v>407512</v>
      </c>
      <c r="AJ673" s="83">
        <v>0</v>
      </c>
      <c r="AK673" s="83">
        <v>0</v>
      </c>
      <c r="AL673" s="83"/>
      <c r="AM673" s="264">
        <f t="shared" si="1374"/>
        <v>0</v>
      </c>
      <c r="AN673" s="83">
        <f>203756*4</f>
        <v>815024</v>
      </c>
      <c r="AO673" s="83">
        <v>0</v>
      </c>
      <c r="AP673" s="264">
        <f t="shared" ref="AP673:AP677" si="1445">SUM(AN673:AO673)</f>
        <v>815024</v>
      </c>
      <c r="AQ673" s="578">
        <f t="shared" si="1375"/>
        <v>0</v>
      </c>
      <c r="AR673" s="47"/>
    </row>
    <row r="674" spans="2:44" ht="31.9" customHeight="1">
      <c r="B674" s="35" t="s">
        <v>1227</v>
      </c>
      <c r="C674" s="666" t="s">
        <v>1236</v>
      </c>
      <c r="D674" s="92"/>
      <c r="E674" s="663" t="s">
        <v>1609</v>
      </c>
      <c r="F674" s="663"/>
      <c r="G674" s="611">
        <v>2025</v>
      </c>
      <c r="H674" s="406">
        <v>2030</v>
      </c>
      <c r="I674" s="83">
        <v>0</v>
      </c>
      <c r="J674" s="83">
        <v>0</v>
      </c>
      <c r="K674" s="264">
        <f t="shared" si="1436"/>
        <v>0</v>
      </c>
      <c r="L674" s="83">
        <v>203756</v>
      </c>
      <c r="M674" s="83">
        <v>0</v>
      </c>
      <c r="N674" s="264">
        <f t="shared" si="1437"/>
        <v>203756</v>
      </c>
      <c r="O674" s="83">
        <v>203756</v>
      </c>
      <c r="P674" s="83">
        <v>0</v>
      </c>
      <c r="Q674" s="264">
        <f t="shared" si="1438"/>
        <v>203756</v>
      </c>
      <c r="R674" s="83">
        <v>203756</v>
      </c>
      <c r="S674" s="83">
        <v>0</v>
      </c>
      <c r="T674" s="264">
        <f t="shared" si="1439"/>
        <v>203756</v>
      </c>
      <c r="U674" s="83">
        <v>203756</v>
      </c>
      <c r="V674" s="83">
        <v>0</v>
      </c>
      <c r="W674" s="264">
        <f t="shared" si="1440"/>
        <v>203756</v>
      </c>
      <c r="X674" s="83">
        <v>203756</v>
      </c>
      <c r="Y674" s="83">
        <v>0</v>
      </c>
      <c r="Z674" s="264">
        <f t="shared" si="1441"/>
        <v>203756</v>
      </c>
      <c r="AA674" s="83">
        <v>203756</v>
      </c>
      <c r="AB674" s="83">
        <v>0</v>
      </c>
      <c r="AC674" s="264">
        <f t="shared" si="1442"/>
        <v>203756</v>
      </c>
      <c r="AD674" s="83">
        <f t="shared" si="1434"/>
        <v>1222536</v>
      </c>
      <c r="AE674" s="83">
        <f t="shared" si="1435"/>
        <v>0</v>
      </c>
      <c r="AF674" s="264">
        <f t="shared" si="1443"/>
        <v>1222536</v>
      </c>
      <c r="AG674" s="83">
        <f>203756*2</f>
        <v>407512</v>
      </c>
      <c r="AH674" s="83">
        <v>0</v>
      </c>
      <c r="AI674" s="264">
        <f t="shared" si="1444"/>
        <v>407512</v>
      </c>
      <c r="AJ674" s="83">
        <v>0</v>
      </c>
      <c r="AK674" s="83">
        <v>0</v>
      </c>
      <c r="AL674" s="83"/>
      <c r="AM674" s="264">
        <f t="shared" si="1374"/>
        <v>0</v>
      </c>
      <c r="AN674" s="83">
        <f>203756*4</f>
        <v>815024</v>
      </c>
      <c r="AO674" s="83">
        <v>0</v>
      </c>
      <c r="AP674" s="264">
        <f t="shared" si="1445"/>
        <v>815024</v>
      </c>
      <c r="AQ674" s="578">
        <f t="shared" si="1375"/>
        <v>0</v>
      </c>
      <c r="AR674" s="47"/>
    </row>
    <row r="675" spans="2:44" ht="31.9" customHeight="1">
      <c r="B675" s="35" t="s">
        <v>1228</v>
      </c>
      <c r="C675" s="666" t="s">
        <v>1237</v>
      </c>
      <c r="D675" s="92"/>
      <c r="E675" s="663" t="s">
        <v>1609</v>
      </c>
      <c r="F675" s="663"/>
      <c r="G675" s="611">
        <v>2025</v>
      </c>
      <c r="H675" s="406">
        <v>2030</v>
      </c>
      <c r="I675" s="83">
        <v>0</v>
      </c>
      <c r="J675" s="83">
        <v>0</v>
      </c>
      <c r="K675" s="264">
        <f t="shared" si="1436"/>
        <v>0</v>
      </c>
      <c r="L675" s="83">
        <v>0</v>
      </c>
      <c r="M675" s="83">
        <v>0</v>
      </c>
      <c r="N675" s="264">
        <f t="shared" si="1437"/>
        <v>0</v>
      </c>
      <c r="O675" s="83">
        <v>0</v>
      </c>
      <c r="P675" s="83">
        <v>0</v>
      </c>
      <c r="Q675" s="264">
        <f t="shared" si="1438"/>
        <v>0</v>
      </c>
      <c r="R675" s="83">
        <v>0</v>
      </c>
      <c r="S675" s="83">
        <v>0</v>
      </c>
      <c r="T675" s="264">
        <f t="shared" si="1439"/>
        <v>0</v>
      </c>
      <c r="U675" s="83">
        <v>0</v>
      </c>
      <c r="V675" s="83">
        <v>0</v>
      </c>
      <c r="W675" s="264">
        <f t="shared" si="1440"/>
        <v>0</v>
      </c>
      <c r="X675" s="83">
        <v>0</v>
      </c>
      <c r="Y675" s="83">
        <v>0</v>
      </c>
      <c r="Z675" s="264">
        <f t="shared" si="1441"/>
        <v>0</v>
      </c>
      <c r="AA675" s="83">
        <v>0</v>
      </c>
      <c r="AB675" s="83">
        <v>0</v>
      </c>
      <c r="AC675" s="264">
        <f t="shared" si="1442"/>
        <v>0</v>
      </c>
      <c r="AD675" s="83">
        <f t="shared" si="1434"/>
        <v>0</v>
      </c>
      <c r="AE675" s="83">
        <f t="shared" si="1435"/>
        <v>0</v>
      </c>
      <c r="AF675" s="264">
        <f t="shared" si="1443"/>
        <v>0</v>
      </c>
      <c r="AG675" s="83">
        <v>0</v>
      </c>
      <c r="AH675" s="83">
        <v>0</v>
      </c>
      <c r="AI675" s="264">
        <f t="shared" si="1444"/>
        <v>0</v>
      </c>
      <c r="AJ675" s="83">
        <v>0</v>
      </c>
      <c r="AK675" s="83">
        <v>0</v>
      </c>
      <c r="AL675" s="83"/>
      <c r="AM675" s="264">
        <f t="shared" si="1374"/>
        <v>0</v>
      </c>
      <c r="AN675" s="83">
        <v>0</v>
      </c>
      <c r="AO675" s="83">
        <v>0</v>
      </c>
      <c r="AP675" s="264">
        <f t="shared" si="1445"/>
        <v>0</v>
      </c>
      <c r="AQ675" s="578">
        <f t="shared" si="1375"/>
        <v>0</v>
      </c>
      <c r="AR675" s="47"/>
    </row>
    <row r="676" spans="2:44" ht="31.9" customHeight="1">
      <c r="B676" s="35" t="s">
        <v>1229</v>
      </c>
      <c r="C676" s="666" t="s">
        <v>1238</v>
      </c>
      <c r="D676" s="92"/>
      <c r="E676" s="663" t="s">
        <v>1609</v>
      </c>
      <c r="F676" s="663"/>
      <c r="G676" s="611">
        <v>2025</v>
      </c>
      <c r="H676" s="406">
        <v>2030</v>
      </c>
      <c r="I676" s="83">
        <v>0</v>
      </c>
      <c r="J676" s="83">
        <v>0</v>
      </c>
      <c r="K676" s="264">
        <f t="shared" si="1436"/>
        <v>0</v>
      </c>
      <c r="L676" s="83">
        <v>203756</v>
      </c>
      <c r="M676" s="83">
        <v>0</v>
      </c>
      <c r="N676" s="264">
        <f t="shared" si="1437"/>
        <v>203756</v>
      </c>
      <c r="O676" s="83">
        <v>203756</v>
      </c>
      <c r="P676" s="83">
        <v>0</v>
      </c>
      <c r="Q676" s="264">
        <f t="shared" si="1438"/>
        <v>203756</v>
      </c>
      <c r="R676" s="83">
        <v>203756</v>
      </c>
      <c r="S676" s="83">
        <v>0</v>
      </c>
      <c r="T676" s="264">
        <f t="shared" si="1439"/>
        <v>203756</v>
      </c>
      <c r="U676" s="83">
        <v>203756</v>
      </c>
      <c r="V676" s="83">
        <v>0</v>
      </c>
      <c r="W676" s="264">
        <f t="shared" si="1440"/>
        <v>203756</v>
      </c>
      <c r="X676" s="83">
        <v>203756</v>
      </c>
      <c r="Y676" s="83">
        <v>0</v>
      </c>
      <c r="Z676" s="264">
        <f t="shared" si="1441"/>
        <v>203756</v>
      </c>
      <c r="AA676" s="83">
        <v>203756</v>
      </c>
      <c r="AB676" s="83">
        <v>0</v>
      </c>
      <c r="AC676" s="264">
        <f t="shared" si="1442"/>
        <v>203756</v>
      </c>
      <c r="AD676" s="83">
        <f t="shared" si="1434"/>
        <v>1222536</v>
      </c>
      <c r="AE676" s="83">
        <f t="shared" si="1435"/>
        <v>0</v>
      </c>
      <c r="AF676" s="264">
        <f t="shared" si="1443"/>
        <v>1222536</v>
      </c>
      <c r="AG676" s="83">
        <f>203756*2</f>
        <v>407512</v>
      </c>
      <c r="AH676" s="83">
        <v>0</v>
      </c>
      <c r="AI676" s="264">
        <f t="shared" si="1444"/>
        <v>407512</v>
      </c>
      <c r="AJ676" s="83">
        <v>0</v>
      </c>
      <c r="AK676" s="83">
        <v>0</v>
      </c>
      <c r="AL676" s="83"/>
      <c r="AM676" s="264">
        <f t="shared" si="1374"/>
        <v>0</v>
      </c>
      <c r="AN676" s="83">
        <f>203756*4</f>
        <v>815024</v>
      </c>
      <c r="AO676" s="83">
        <v>0</v>
      </c>
      <c r="AP676" s="264">
        <f t="shared" si="1445"/>
        <v>815024</v>
      </c>
      <c r="AQ676" s="578">
        <f t="shared" si="1375"/>
        <v>0</v>
      </c>
      <c r="AR676" s="47"/>
    </row>
    <row r="677" spans="2:44" ht="31.9" customHeight="1">
      <c r="B677" s="35" t="s">
        <v>1230</v>
      </c>
      <c r="C677" s="681" t="s">
        <v>1239</v>
      </c>
      <c r="D677" s="92"/>
      <c r="E677" s="663" t="s">
        <v>1609</v>
      </c>
      <c r="F677" s="663"/>
      <c r="G677" s="611">
        <v>2025</v>
      </c>
      <c r="H677" s="406">
        <v>2030</v>
      </c>
      <c r="I677" s="83">
        <v>0</v>
      </c>
      <c r="J677" s="83">
        <v>0</v>
      </c>
      <c r="K677" s="264">
        <f t="shared" si="1436"/>
        <v>0</v>
      </c>
      <c r="L677" s="83">
        <v>0</v>
      </c>
      <c r="M677" s="83">
        <v>0</v>
      </c>
      <c r="N677" s="264">
        <f t="shared" si="1437"/>
        <v>0</v>
      </c>
      <c r="O677" s="83">
        <v>0</v>
      </c>
      <c r="P677" s="83">
        <v>0</v>
      </c>
      <c r="Q677" s="264">
        <f t="shared" si="1438"/>
        <v>0</v>
      </c>
      <c r="R677" s="83">
        <v>0</v>
      </c>
      <c r="S677" s="83">
        <v>0</v>
      </c>
      <c r="T677" s="264">
        <f t="shared" si="1439"/>
        <v>0</v>
      </c>
      <c r="U677" s="83">
        <v>0</v>
      </c>
      <c r="V677" s="83">
        <v>0</v>
      </c>
      <c r="W677" s="264">
        <f t="shared" si="1440"/>
        <v>0</v>
      </c>
      <c r="X677" s="83">
        <v>0</v>
      </c>
      <c r="Y677" s="83">
        <v>0</v>
      </c>
      <c r="Z677" s="264">
        <f t="shared" si="1441"/>
        <v>0</v>
      </c>
      <c r="AA677" s="83">
        <v>0</v>
      </c>
      <c r="AB677" s="83">
        <v>0</v>
      </c>
      <c r="AC677" s="264">
        <f t="shared" si="1442"/>
        <v>0</v>
      </c>
      <c r="AD677" s="83">
        <f t="shared" si="1434"/>
        <v>0</v>
      </c>
      <c r="AE677" s="83">
        <f t="shared" si="1435"/>
        <v>0</v>
      </c>
      <c r="AF677" s="264">
        <f t="shared" si="1443"/>
        <v>0</v>
      </c>
      <c r="AG677" s="83">
        <v>0</v>
      </c>
      <c r="AH677" s="83">
        <v>0</v>
      </c>
      <c r="AI677" s="264">
        <f t="shared" si="1444"/>
        <v>0</v>
      </c>
      <c r="AJ677" s="83">
        <v>0</v>
      </c>
      <c r="AK677" s="83">
        <v>0</v>
      </c>
      <c r="AL677" s="83"/>
      <c r="AM677" s="264">
        <f t="shared" si="1374"/>
        <v>0</v>
      </c>
      <c r="AN677" s="83">
        <v>0</v>
      </c>
      <c r="AO677" s="83">
        <v>0</v>
      </c>
      <c r="AP677" s="264">
        <f t="shared" si="1445"/>
        <v>0</v>
      </c>
      <c r="AQ677" s="578">
        <f t="shared" si="1375"/>
        <v>0</v>
      </c>
      <c r="AR677" s="47"/>
    </row>
    <row r="678" spans="2:44" ht="52.15" customHeight="1" thickBot="1">
      <c r="B678" s="210" t="s">
        <v>1240</v>
      </c>
      <c r="C678" s="571" t="s">
        <v>1246</v>
      </c>
      <c r="D678" s="217"/>
      <c r="E678" s="570" t="s">
        <v>98</v>
      </c>
      <c r="F678" s="570"/>
      <c r="G678" s="752">
        <v>2024</v>
      </c>
      <c r="H678" s="570">
        <v>2030</v>
      </c>
      <c r="I678" s="197">
        <f>SUM(I679:I682)</f>
        <v>611268</v>
      </c>
      <c r="J678" s="197">
        <f>SUM(J679:J682)</f>
        <v>0</v>
      </c>
      <c r="K678" s="197">
        <f>I678+J678</f>
        <v>611268</v>
      </c>
      <c r="L678" s="197">
        <f>SUM(L679:L682)</f>
        <v>611268</v>
      </c>
      <c r="M678" s="197">
        <f>SUM(M679:M682)</f>
        <v>0</v>
      </c>
      <c r="N678" s="197">
        <f>L678+M678</f>
        <v>611268</v>
      </c>
      <c r="O678" s="197">
        <f>SUM(O679:O682)</f>
        <v>611268</v>
      </c>
      <c r="P678" s="197">
        <f>SUM(P679:P682)</f>
        <v>0</v>
      </c>
      <c r="Q678" s="197">
        <f>O678+P678</f>
        <v>611268</v>
      </c>
      <c r="R678" s="197">
        <f>SUM(R679:R682)</f>
        <v>611268</v>
      </c>
      <c r="S678" s="197">
        <f>SUM(S679:S682)</f>
        <v>0</v>
      </c>
      <c r="T678" s="197">
        <f>R678+S678</f>
        <v>611268</v>
      </c>
      <c r="U678" s="197">
        <f>SUM(U679:U682)</f>
        <v>611268</v>
      </c>
      <c r="V678" s="197">
        <f>SUM(V679:V682)</f>
        <v>0</v>
      </c>
      <c r="W678" s="197">
        <f>U678+V678</f>
        <v>611268</v>
      </c>
      <c r="X678" s="197">
        <f>SUM(X679:X682)</f>
        <v>611268</v>
      </c>
      <c r="Y678" s="197">
        <f>SUM(Y679:Y682)</f>
        <v>0</v>
      </c>
      <c r="Z678" s="197">
        <f>SUM(X678:Y678)</f>
        <v>611268</v>
      </c>
      <c r="AA678" s="197">
        <f>SUM(AA679:AA682)</f>
        <v>611268</v>
      </c>
      <c r="AB678" s="197">
        <f>SUM(AB679:AB682)</f>
        <v>0</v>
      </c>
      <c r="AC678" s="197">
        <f>SUM(AA678:AB678)</f>
        <v>611268</v>
      </c>
      <c r="AD678" s="197">
        <f t="shared" ref="AD678:AD682" si="1446">I678+L678+O678+R678+U678+X678+AA678</f>
        <v>4278876</v>
      </c>
      <c r="AE678" s="197">
        <f t="shared" ref="AE678:AE682" si="1447">J678+M678+P678+S678+V678+Y678+AB678</f>
        <v>0</v>
      </c>
      <c r="AF678" s="197">
        <f>AD678+AE678</f>
        <v>4278876</v>
      </c>
      <c r="AG678" s="197">
        <f>SUM(AG679:AG682)</f>
        <v>1833804</v>
      </c>
      <c r="AH678" s="197">
        <f>SUM(AH679:AH682)</f>
        <v>0</v>
      </c>
      <c r="AI678" s="197">
        <f>AG678+AH678</f>
        <v>1833804</v>
      </c>
      <c r="AJ678" s="197">
        <f>SUM(AJ679:AJ682)</f>
        <v>0</v>
      </c>
      <c r="AK678" s="197">
        <f>SUM(AK679:AK682)</f>
        <v>0</v>
      </c>
      <c r="AL678" s="197"/>
      <c r="AM678" s="197">
        <f t="shared" si="1374"/>
        <v>0</v>
      </c>
      <c r="AN678" s="197">
        <f>SUM(AN679:AN682)</f>
        <v>2445072</v>
      </c>
      <c r="AO678" s="197">
        <f>SUM(AO679:AO682)</f>
        <v>0</v>
      </c>
      <c r="AP678" s="197">
        <f>AN678+AO678</f>
        <v>2445072</v>
      </c>
      <c r="AQ678" s="577">
        <f t="shared" si="1375"/>
        <v>0</v>
      </c>
      <c r="AR678" s="47"/>
    </row>
    <row r="679" spans="2:44" ht="31.9" customHeight="1">
      <c r="B679" s="35" t="s">
        <v>1241</v>
      </c>
      <c r="C679" s="665" t="s">
        <v>1247</v>
      </c>
      <c r="D679" s="92"/>
      <c r="E679" s="753" t="s">
        <v>98</v>
      </c>
      <c r="F679" s="228"/>
      <c r="G679" s="406">
        <v>2024</v>
      </c>
      <c r="H679" s="406">
        <v>2030</v>
      </c>
      <c r="I679" s="83">
        <v>203756</v>
      </c>
      <c r="J679" s="83">
        <v>0</v>
      </c>
      <c r="K679" s="264">
        <f t="shared" ref="K679:K682" si="1448">SUM(I679:J679)</f>
        <v>203756</v>
      </c>
      <c r="L679" s="83">
        <v>203756</v>
      </c>
      <c r="M679" s="83">
        <v>0</v>
      </c>
      <c r="N679" s="264">
        <f t="shared" ref="N679:N682" si="1449">SUM(L679:M679)</f>
        <v>203756</v>
      </c>
      <c r="O679" s="83">
        <v>203756</v>
      </c>
      <c r="P679" s="83">
        <v>0</v>
      </c>
      <c r="Q679" s="264">
        <f t="shared" ref="Q679:Q682" si="1450">SUM(O679:P679)</f>
        <v>203756</v>
      </c>
      <c r="R679" s="83">
        <v>203756</v>
      </c>
      <c r="S679" s="83">
        <v>0</v>
      </c>
      <c r="T679" s="264">
        <f t="shared" ref="T679:T682" si="1451">SUM(R679:S679)</f>
        <v>203756</v>
      </c>
      <c r="U679" s="83">
        <v>203756</v>
      </c>
      <c r="V679" s="83">
        <v>0</v>
      </c>
      <c r="W679" s="264">
        <f t="shared" ref="W679:W682" si="1452">SUM(U679:V679)</f>
        <v>203756</v>
      </c>
      <c r="X679" s="83">
        <v>203756</v>
      </c>
      <c r="Y679" s="83">
        <v>0</v>
      </c>
      <c r="Z679" s="264">
        <f t="shared" ref="Z679:Z682" si="1453">SUM(X679:Y679)</f>
        <v>203756</v>
      </c>
      <c r="AA679" s="83">
        <v>203756</v>
      </c>
      <c r="AB679" s="83">
        <v>0</v>
      </c>
      <c r="AC679" s="264">
        <f t="shared" ref="AC679:AC682" si="1454">SUM(AA679:AB679)</f>
        <v>203756</v>
      </c>
      <c r="AD679" s="83">
        <f t="shared" si="1446"/>
        <v>1426292</v>
      </c>
      <c r="AE679" s="83">
        <f t="shared" si="1447"/>
        <v>0</v>
      </c>
      <c r="AF679" s="264">
        <f t="shared" ref="AF679:AF682" si="1455">AD679+AE679</f>
        <v>1426292</v>
      </c>
      <c r="AG679" s="83">
        <f>203756*3</f>
        <v>611268</v>
      </c>
      <c r="AH679" s="83">
        <v>0</v>
      </c>
      <c r="AI679" s="264">
        <f t="shared" ref="AI679:AI682" si="1456">SUM(AG679:AH679)</f>
        <v>611268</v>
      </c>
      <c r="AJ679" s="83">
        <v>0</v>
      </c>
      <c r="AK679" s="83">
        <v>0</v>
      </c>
      <c r="AL679" s="83"/>
      <c r="AM679" s="264">
        <f t="shared" si="1374"/>
        <v>0</v>
      </c>
      <c r="AN679" s="83">
        <f>203756*4</f>
        <v>815024</v>
      </c>
      <c r="AO679" s="83">
        <v>0</v>
      </c>
      <c r="AP679" s="264">
        <f t="shared" ref="AP679:AP682" si="1457">SUM(AN679:AO679)</f>
        <v>815024</v>
      </c>
      <c r="AQ679" s="578">
        <f t="shared" si="1375"/>
        <v>0</v>
      </c>
      <c r="AR679" s="47"/>
    </row>
    <row r="680" spans="2:44" ht="31.9" customHeight="1">
      <c r="B680" s="35" t="s">
        <v>1242</v>
      </c>
      <c r="C680" s="666" t="s">
        <v>1248</v>
      </c>
      <c r="D680" s="92"/>
      <c r="E680" s="673" t="s">
        <v>98</v>
      </c>
      <c r="F680" s="93"/>
      <c r="G680" s="406">
        <v>2024</v>
      </c>
      <c r="H680" s="406">
        <v>2030</v>
      </c>
      <c r="I680" s="83">
        <v>203756</v>
      </c>
      <c r="J680" s="83">
        <v>0</v>
      </c>
      <c r="K680" s="264">
        <f t="shared" si="1448"/>
        <v>203756</v>
      </c>
      <c r="L680" s="83">
        <v>203756</v>
      </c>
      <c r="M680" s="83">
        <v>0</v>
      </c>
      <c r="N680" s="264">
        <f t="shared" si="1449"/>
        <v>203756</v>
      </c>
      <c r="O680" s="83">
        <v>203756</v>
      </c>
      <c r="P680" s="83">
        <v>0</v>
      </c>
      <c r="Q680" s="264">
        <f t="shared" si="1450"/>
        <v>203756</v>
      </c>
      <c r="R680" s="83">
        <v>203756</v>
      </c>
      <c r="S680" s="83">
        <v>0</v>
      </c>
      <c r="T680" s="264">
        <f t="shared" si="1451"/>
        <v>203756</v>
      </c>
      <c r="U680" s="83">
        <v>203756</v>
      </c>
      <c r="V680" s="83">
        <v>0</v>
      </c>
      <c r="W680" s="264">
        <f t="shared" si="1452"/>
        <v>203756</v>
      </c>
      <c r="X680" s="83">
        <v>203756</v>
      </c>
      <c r="Y680" s="83">
        <v>0</v>
      </c>
      <c r="Z680" s="264">
        <f t="shared" si="1453"/>
        <v>203756</v>
      </c>
      <c r="AA680" s="83">
        <v>203756</v>
      </c>
      <c r="AB680" s="83">
        <v>0</v>
      </c>
      <c r="AC680" s="264">
        <f t="shared" si="1454"/>
        <v>203756</v>
      </c>
      <c r="AD680" s="83">
        <f t="shared" si="1446"/>
        <v>1426292</v>
      </c>
      <c r="AE680" s="83">
        <f t="shared" si="1447"/>
        <v>0</v>
      </c>
      <c r="AF680" s="264">
        <f t="shared" si="1455"/>
        <v>1426292</v>
      </c>
      <c r="AG680" s="83">
        <f>203756*3</f>
        <v>611268</v>
      </c>
      <c r="AH680" s="83">
        <v>0</v>
      </c>
      <c r="AI680" s="264">
        <f t="shared" si="1456"/>
        <v>611268</v>
      </c>
      <c r="AJ680" s="83">
        <v>0</v>
      </c>
      <c r="AK680" s="83">
        <v>0</v>
      </c>
      <c r="AL680" s="83"/>
      <c r="AM680" s="264">
        <f t="shared" si="1374"/>
        <v>0</v>
      </c>
      <c r="AN680" s="83">
        <f>203756*4</f>
        <v>815024</v>
      </c>
      <c r="AO680" s="83">
        <v>0</v>
      </c>
      <c r="AP680" s="264">
        <f t="shared" si="1457"/>
        <v>815024</v>
      </c>
      <c r="AQ680" s="578">
        <f t="shared" si="1375"/>
        <v>0</v>
      </c>
      <c r="AR680" s="47"/>
    </row>
    <row r="681" spans="2:44" ht="31.9" customHeight="1">
      <c r="B681" s="35" t="s">
        <v>1243</v>
      </c>
      <c r="C681" s="666" t="s">
        <v>1249</v>
      </c>
      <c r="D681" s="92"/>
      <c r="E681" s="673" t="s">
        <v>98</v>
      </c>
      <c r="F681" s="93"/>
      <c r="G681" s="406">
        <v>2024</v>
      </c>
      <c r="H681" s="406">
        <v>2030</v>
      </c>
      <c r="I681" s="83">
        <v>0</v>
      </c>
      <c r="J681" s="83">
        <v>0</v>
      </c>
      <c r="K681" s="264">
        <f t="shared" si="1448"/>
        <v>0</v>
      </c>
      <c r="L681" s="83">
        <v>0</v>
      </c>
      <c r="M681" s="83">
        <v>0</v>
      </c>
      <c r="N681" s="264">
        <f t="shared" si="1449"/>
        <v>0</v>
      </c>
      <c r="O681" s="83">
        <v>0</v>
      </c>
      <c r="P681" s="83">
        <v>0</v>
      </c>
      <c r="Q681" s="264">
        <f t="shared" si="1450"/>
        <v>0</v>
      </c>
      <c r="R681" s="83">
        <v>0</v>
      </c>
      <c r="S681" s="83">
        <v>0</v>
      </c>
      <c r="T681" s="264">
        <f t="shared" si="1451"/>
        <v>0</v>
      </c>
      <c r="U681" s="83">
        <v>0</v>
      </c>
      <c r="V681" s="83">
        <v>0</v>
      </c>
      <c r="W681" s="264">
        <f t="shared" si="1452"/>
        <v>0</v>
      </c>
      <c r="X681" s="83">
        <v>0</v>
      </c>
      <c r="Y681" s="83">
        <v>0</v>
      </c>
      <c r="Z681" s="264">
        <f t="shared" si="1453"/>
        <v>0</v>
      </c>
      <c r="AA681" s="83">
        <v>0</v>
      </c>
      <c r="AB681" s="83">
        <v>0</v>
      </c>
      <c r="AC681" s="264">
        <f t="shared" si="1454"/>
        <v>0</v>
      </c>
      <c r="AD681" s="83">
        <f t="shared" si="1446"/>
        <v>0</v>
      </c>
      <c r="AE681" s="83">
        <f t="shared" si="1447"/>
        <v>0</v>
      </c>
      <c r="AF681" s="264">
        <f t="shared" si="1455"/>
        <v>0</v>
      </c>
      <c r="AG681" s="83">
        <v>0</v>
      </c>
      <c r="AH681" s="83">
        <v>0</v>
      </c>
      <c r="AI681" s="264">
        <f t="shared" si="1456"/>
        <v>0</v>
      </c>
      <c r="AJ681" s="83">
        <v>0</v>
      </c>
      <c r="AK681" s="83">
        <v>0</v>
      </c>
      <c r="AL681" s="83"/>
      <c r="AM681" s="264">
        <f t="shared" si="1374"/>
        <v>0</v>
      </c>
      <c r="AN681" s="83">
        <v>0</v>
      </c>
      <c r="AO681" s="83">
        <v>0</v>
      </c>
      <c r="AP681" s="264">
        <f t="shared" si="1457"/>
        <v>0</v>
      </c>
      <c r="AQ681" s="578">
        <f t="shared" si="1375"/>
        <v>0</v>
      </c>
      <c r="AR681" s="47"/>
    </row>
    <row r="682" spans="2:44" ht="31.9" customHeight="1">
      <c r="B682" s="35" t="s">
        <v>1244</v>
      </c>
      <c r="C682" s="681" t="s">
        <v>1250</v>
      </c>
      <c r="D682" s="92"/>
      <c r="E682" s="677" t="s">
        <v>98</v>
      </c>
      <c r="F682" s="93"/>
      <c r="G682" s="406">
        <v>2024</v>
      </c>
      <c r="H682" s="406">
        <v>2030</v>
      </c>
      <c r="I682" s="83">
        <v>203756</v>
      </c>
      <c r="J682" s="83">
        <v>0</v>
      </c>
      <c r="K682" s="264">
        <f t="shared" si="1448"/>
        <v>203756</v>
      </c>
      <c r="L682" s="83">
        <v>203756</v>
      </c>
      <c r="M682" s="83">
        <v>0</v>
      </c>
      <c r="N682" s="264">
        <f t="shared" si="1449"/>
        <v>203756</v>
      </c>
      <c r="O682" s="83">
        <v>203756</v>
      </c>
      <c r="P682" s="83">
        <v>0</v>
      </c>
      <c r="Q682" s="264">
        <f t="shared" si="1450"/>
        <v>203756</v>
      </c>
      <c r="R682" s="83">
        <v>203756</v>
      </c>
      <c r="S682" s="83">
        <v>0</v>
      </c>
      <c r="T682" s="264">
        <f t="shared" si="1451"/>
        <v>203756</v>
      </c>
      <c r="U682" s="83">
        <v>203756</v>
      </c>
      <c r="V682" s="83">
        <v>0</v>
      </c>
      <c r="W682" s="264">
        <f t="shared" si="1452"/>
        <v>203756</v>
      </c>
      <c r="X682" s="83">
        <v>203756</v>
      </c>
      <c r="Y682" s="83">
        <v>0</v>
      </c>
      <c r="Z682" s="264">
        <f t="shared" si="1453"/>
        <v>203756</v>
      </c>
      <c r="AA682" s="83">
        <v>203756</v>
      </c>
      <c r="AB682" s="83">
        <v>0</v>
      </c>
      <c r="AC682" s="264">
        <f t="shared" si="1454"/>
        <v>203756</v>
      </c>
      <c r="AD682" s="83">
        <f t="shared" si="1446"/>
        <v>1426292</v>
      </c>
      <c r="AE682" s="83">
        <f t="shared" si="1447"/>
        <v>0</v>
      </c>
      <c r="AF682" s="264">
        <f t="shared" si="1455"/>
        <v>1426292</v>
      </c>
      <c r="AG682" s="83">
        <f>203756*3</f>
        <v>611268</v>
      </c>
      <c r="AH682" s="83">
        <v>0</v>
      </c>
      <c r="AI682" s="264">
        <f t="shared" si="1456"/>
        <v>611268</v>
      </c>
      <c r="AJ682" s="83">
        <v>0</v>
      </c>
      <c r="AK682" s="83">
        <v>0</v>
      </c>
      <c r="AL682" s="83"/>
      <c r="AM682" s="264">
        <f t="shared" si="1374"/>
        <v>0</v>
      </c>
      <c r="AN682" s="83">
        <f>203756*4</f>
        <v>815024</v>
      </c>
      <c r="AO682" s="83">
        <v>0</v>
      </c>
      <c r="AP682" s="264">
        <f t="shared" si="1457"/>
        <v>815024</v>
      </c>
      <c r="AQ682" s="578">
        <f t="shared" si="1375"/>
        <v>0</v>
      </c>
      <c r="AR682" s="47"/>
    </row>
    <row r="683" spans="2:44" ht="31.9" customHeight="1">
      <c r="B683" s="210" t="s">
        <v>1245</v>
      </c>
      <c r="C683" s="571" t="s">
        <v>1257</v>
      </c>
      <c r="D683" s="217"/>
      <c r="E683" s="570" t="s">
        <v>372</v>
      </c>
      <c r="F683" s="570"/>
      <c r="G683" s="570">
        <v>2025</v>
      </c>
      <c r="H683" s="570">
        <v>2030</v>
      </c>
      <c r="I683" s="197">
        <f>SUM(I684:I685)</f>
        <v>0</v>
      </c>
      <c r="J683" s="197">
        <f>SUM(J684:J685)</f>
        <v>0</v>
      </c>
      <c r="K683" s="197">
        <f>I683+J683</f>
        <v>0</v>
      </c>
      <c r="L683" s="197">
        <f>SUM(L684:L685)</f>
        <v>611274</v>
      </c>
      <c r="M683" s="197">
        <f>SUM(M684:M685)</f>
        <v>0</v>
      </c>
      <c r="N683" s="197">
        <f>L683+M683</f>
        <v>611274</v>
      </c>
      <c r="O683" s="197">
        <f>SUM(O684:O685)</f>
        <v>611274</v>
      </c>
      <c r="P683" s="197">
        <f>SUM(P684:P685)</f>
        <v>0</v>
      </c>
      <c r="Q683" s="197">
        <f>O683+P683</f>
        <v>611274</v>
      </c>
      <c r="R683" s="197">
        <f>SUM(R684:R685)</f>
        <v>611274</v>
      </c>
      <c r="S683" s="197">
        <f>SUM(S684:S685)</f>
        <v>0</v>
      </c>
      <c r="T683" s="197">
        <f>R683+S683</f>
        <v>611274</v>
      </c>
      <c r="U683" s="197">
        <f>SUM(U684:U685)</f>
        <v>611274</v>
      </c>
      <c r="V683" s="197">
        <f>SUM(V684:V685)</f>
        <v>0</v>
      </c>
      <c r="W683" s="197">
        <f>U683+V683</f>
        <v>611274</v>
      </c>
      <c r="X683" s="197">
        <f>SUM(X684:X685)</f>
        <v>611274</v>
      </c>
      <c r="Y683" s="197">
        <f>SUM(Y684:Y685)</f>
        <v>0</v>
      </c>
      <c r="Z683" s="197">
        <f>SUM(X683:Y683)</f>
        <v>611274</v>
      </c>
      <c r="AA683" s="197">
        <f>SUM(AA684:AA685)</f>
        <v>611274</v>
      </c>
      <c r="AB683" s="197">
        <f>SUM(AB684:AB685)</f>
        <v>0</v>
      </c>
      <c r="AC683" s="197">
        <f>SUM(AA683:AB683)</f>
        <v>611274</v>
      </c>
      <c r="AD683" s="197">
        <f t="shared" ref="AD683:AD685" si="1458">I683+L683+O683+R683+U683+X683+AA683</f>
        <v>3667644</v>
      </c>
      <c r="AE683" s="197">
        <f t="shared" ref="AE683:AE685" si="1459">J683+M683+P683+S683+V683+Y683+AB683</f>
        <v>0</v>
      </c>
      <c r="AF683" s="197">
        <f>AD683+AE683</f>
        <v>3667644</v>
      </c>
      <c r="AG683" s="197">
        <f>SUM(AG684:AG685)</f>
        <v>1222548</v>
      </c>
      <c r="AH683" s="197">
        <f>SUM(AH684:AH685)</f>
        <v>0</v>
      </c>
      <c r="AI683" s="197">
        <f>AG683+AH683</f>
        <v>1222548</v>
      </c>
      <c r="AJ683" s="197">
        <f>SUM(AJ684:AJ685)</f>
        <v>0</v>
      </c>
      <c r="AK683" s="197">
        <f>SUM(AK684:AK685)</f>
        <v>0</v>
      </c>
      <c r="AL683" s="197"/>
      <c r="AM683" s="197">
        <f t="shared" si="1374"/>
        <v>0</v>
      </c>
      <c r="AN683" s="197">
        <f>SUM(AN684:AN685)</f>
        <v>2445096</v>
      </c>
      <c r="AO683" s="197">
        <f>SUM(AO684:AO685)</f>
        <v>0</v>
      </c>
      <c r="AP683" s="197">
        <f>AN683+AO683</f>
        <v>2445096</v>
      </c>
      <c r="AQ683" s="577">
        <f t="shared" si="1375"/>
        <v>0</v>
      </c>
      <c r="AR683" s="47"/>
    </row>
    <row r="684" spans="2:44" ht="31.9" customHeight="1">
      <c r="B684" s="35" t="s">
        <v>1251</v>
      </c>
      <c r="C684" s="666" t="s">
        <v>1258</v>
      </c>
      <c r="D684" s="92"/>
      <c r="E684" s="663" t="s">
        <v>372</v>
      </c>
      <c r="F684" s="93"/>
      <c r="G684" s="406">
        <v>2025</v>
      </c>
      <c r="H684" s="406">
        <v>2030</v>
      </c>
      <c r="I684" s="83">
        <v>0</v>
      </c>
      <c r="J684" s="83">
        <v>0</v>
      </c>
      <c r="K684" s="264">
        <f t="shared" ref="K684:K685" si="1460">SUM(I684:J684)</f>
        <v>0</v>
      </c>
      <c r="L684" s="83">
        <v>407516</v>
      </c>
      <c r="M684" s="83">
        <v>0</v>
      </c>
      <c r="N684" s="264">
        <f t="shared" ref="N684:N685" si="1461">SUM(L684:M684)</f>
        <v>407516</v>
      </c>
      <c r="O684" s="83">
        <v>407516</v>
      </c>
      <c r="P684" s="83">
        <v>0</v>
      </c>
      <c r="Q684" s="264">
        <f t="shared" ref="Q684:Q685" si="1462">SUM(O684:P684)</f>
        <v>407516</v>
      </c>
      <c r="R684" s="83">
        <v>407516</v>
      </c>
      <c r="S684" s="83">
        <v>0</v>
      </c>
      <c r="T684" s="264">
        <f t="shared" ref="T684:T685" si="1463">SUM(R684:S684)</f>
        <v>407516</v>
      </c>
      <c r="U684" s="83">
        <v>407516</v>
      </c>
      <c r="V684" s="83">
        <v>0</v>
      </c>
      <c r="W684" s="264">
        <f t="shared" ref="W684:W685" si="1464">SUM(U684:V684)</f>
        <v>407516</v>
      </c>
      <c r="X684" s="83">
        <v>407516</v>
      </c>
      <c r="Y684" s="83">
        <v>0</v>
      </c>
      <c r="Z684" s="264">
        <f t="shared" ref="Z684:Z685" si="1465">SUM(X684:Y684)</f>
        <v>407516</v>
      </c>
      <c r="AA684" s="83">
        <v>407516</v>
      </c>
      <c r="AB684" s="83">
        <v>0</v>
      </c>
      <c r="AC684" s="264">
        <f t="shared" ref="AC684:AC685" si="1466">SUM(AA684:AB684)</f>
        <v>407516</v>
      </c>
      <c r="AD684" s="83">
        <f t="shared" si="1458"/>
        <v>2445096</v>
      </c>
      <c r="AE684" s="83">
        <f t="shared" si="1459"/>
        <v>0</v>
      </c>
      <c r="AF684" s="264">
        <f t="shared" ref="AF684:AF685" si="1467">AD684+AE684</f>
        <v>2445096</v>
      </c>
      <c r="AG684" s="83">
        <f>407516*2</f>
        <v>815032</v>
      </c>
      <c r="AH684" s="83">
        <v>0</v>
      </c>
      <c r="AI684" s="264">
        <f t="shared" ref="AI684:AI685" si="1468">SUM(AG684:AH684)</f>
        <v>815032</v>
      </c>
      <c r="AJ684" s="83">
        <v>0</v>
      </c>
      <c r="AK684" s="83">
        <v>0</v>
      </c>
      <c r="AL684" s="83"/>
      <c r="AM684" s="264">
        <f t="shared" si="1374"/>
        <v>0</v>
      </c>
      <c r="AN684" s="83">
        <f>407516*4</f>
        <v>1630064</v>
      </c>
      <c r="AO684" s="83">
        <v>0</v>
      </c>
      <c r="AP684" s="264">
        <f t="shared" ref="AP684:AP685" si="1469">SUM(AN684:AO684)</f>
        <v>1630064</v>
      </c>
      <c r="AQ684" s="578">
        <f t="shared" si="1375"/>
        <v>0</v>
      </c>
      <c r="AR684" s="47"/>
    </row>
    <row r="685" spans="2:44" ht="31.9" customHeight="1">
      <c r="B685" s="35" t="s">
        <v>1252</v>
      </c>
      <c r="C685" s="666" t="s">
        <v>1238</v>
      </c>
      <c r="D685" s="92"/>
      <c r="E685" s="663" t="s">
        <v>372</v>
      </c>
      <c r="F685" s="93"/>
      <c r="G685" s="406">
        <v>2025</v>
      </c>
      <c r="H685" s="406">
        <v>2030</v>
      </c>
      <c r="I685" s="83">
        <v>0</v>
      </c>
      <c r="J685" s="83">
        <v>0</v>
      </c>
      <c r="K685" s="264">
        <f t="shared" si="1460"/>
        <v>0</v>
      </c>
      <c r="L685" s="83">
        <v>203758</v>
      </c>
      <c r="M685" s="83">
        <v>0</v>
      </c>
      <c r="N685" s="264">
        <f t="shared" si="1461"/>
        <v>203758</v>
      </c>
      <c r="O685" s="83">
        <v>203758</v>
      </c>
      <c r="P685" s="83">
        <v>0</v>
      </c>
      <c r="Q685" s="264">
        <f t="shared" si="1462"/>
        <v>203758</v>
      </c>
      <c r="R685" s="83">
        <v>203758</v>
      </c>
      <c r="S685" s="83">
        <v>0</v>
      </c>
      <c r="T685" s="264">
        <f t="shared" si="1463"/>
        <v>203758</v>
      </c>
      <c r="U685" s="83">
        <v>203758</v>
      </c>
      <c r="V685" s="83">
        <v>0</v>
      </c>
      <c r="W685" s="264">
        <f t="shared" si="1464"/>
        <v>203758</v>
      </c>
      <c r="X685" s="83">
        <v>203758</v>
      </c>
      <c r="Y685" s="83">
        <v>0</v>
      </c>
      <c r="Z685" s="264">
        <f t="shared" si="1465"/>
        <v>203758</v>
      </c>
      <c r="AA685" s="83">
        <v>203758</v>
      </c>
      <c r="AB685" s="83">
        <v>0</v>
      </c>
      <c r="AC685" s="264">
        <f t="shared" si="1466"/>
        <v>203758</v>
      </c>
      <c r="AD685" s="83">
        <f t="shared" si="1458"/>
        <v>1222548</v>
      </c>
      <c r="AE685" s="83">
        <f t="shared" si="1459"/>
        <v>0</v>
      </c>
      <c r="AF685" s="264">
        <f t="shared" si="1467"/>
        <v>1222548</v>
      </c>
      <c r="AG685" s="83">
        <f>203758*2</f>
        <v>407516</v>
      </c>
      <c r="AH685" s="83">
        <v>0</v>
      </c>
      <c r="AI685" s="264">
        <f t="shared" si="1468"/>
        <v>407516</v>
      </c>
      <c r="AJ685" s="83">
        <v>0</v>
      </c>
      <c r="AK685" s="83">
        <v>0</v>
      </c>
      <c r="AL685" s="83"/>
      <c r="AM685" s="264">
        <f t="shared" si="1374"/>
        <v>0</v>
      </c>
      <c r="AN685" s="83">
        <f>203758*4</f>
        <v>815032</v>
      </c>
      <c r="AO685" s="83">
        <v>0</v>
      </c>
      <c r="AP685" s="264">
        <f t="shared" si="1469"/>
        <v>815032</v>
      </c>
      <c r="AQ685" s="578">
        <f t="shared" si="1375"/>
        <v>0</v>
      </c>
      <c r="AR685" s="47"/>
    </row>
    <row r="686" spans="2:44" ht="31.9" customHeight="1">
      <c r="B686" s="210" t="s">
        <v>1253</v>
      </c>
      <c r="C686" s="571" t="s">
        <v>1259</v>
      </c>
      <c r="D686" s="217"/>
      <c r="E686" s="795" t="s">
        <v>612</v>
      </c>
      <c r="F686" s="570"/>
      <c r="G686" s="570">
        <v>2024</v>
      </c>
      <c r="H686" s="570">
        <v>2030</v>
      </c>
      <c r="I686" s="197">
        <f>SUM(I687:I688)</f>
        <v>903356</v>
      </c>
      <c r="J686" s="197">
        <f>SUM(J687:J688)</f>
        <v>0</v>
      </c>
      <c r="K686" s="197">
        <f>I686+J686</f>
        <v>903356</v>
      </c>
      <c r="L686" s="197">
        <f>SUM(L687:L688)</f>
        <v>903356</v>
      </c>
      <c r="M686" s="197">
        <f>SUM(M687:M688)</f>
        <v>0</v>
      </c>
      <c r="N686" s="197">
        <f>L686+M686</f>
        <v>903356</v>
      </c>
      <c r="O686" s="197">
        <f>SUM(O687:O688)</f>
        <v>903356</v>
      </c>
      <c r="P686" s="197">
        <f>SUM(P687:P688)</f>
        <v>0</v>
      </c>
      <c r="Q686" s="197">
        <f>O686+P686</f>
        <v>903356</v>
      </c>
      <c r="R686" s="197">
        <f>SUM(R687:R688)</f>
        <v>903356</v>
      </c>
      <c r="S686" s="197">
        <f>SUM(S687:S688)</f>
        <v>0</v>
      </c>
      <c r="T686" s="197">
        <f>R686+S686</f>
        <v>903356</v>
      </c>
      <c r="U686" s="197">
        <f>SUM(U687:U688)</f>
        <v>903356</v>
      </c>
      <c r="V686" s="197">
        <f>SUM(V687:V688)</f>
        <v>0</v>
      </c>
      <c r="W686" s="197">
        <f>U686+V686</f>
        <v>903356</v>
      </c>
      <c r="X686" s="197">
        <f>SUM(X687:X688)</f>
        <v>903356</v>
      </c>
      <c r="Y686" s="197">
        <f>SUM(Y687:Y688)</f>
        <v>0</v>
      </c>
      <c r="Z686" s="197">
        <f>SUM(X686:Y686)</f>
        <v>903356</v>
      </c>
      <c r="AA686" s="197">
        <f>SUM(AA687:AA688)</f>
        <v>903356</v>
      </c>
      <c r="AB686" s="197">
        <f>SUM(AB687:AB688)</f>
        <v>0</v>
      </c>
      <c r="AC686" s="197">
        <f>SUM(AA686:AB686)</f>
        <v>903356</v>
      </c>
      <c r="AD686" s="197">
        <f t="shared" ref="AD686:AD688" si="1470">I686+L686+O686+R686+U686+X686+AA686</f>
        <v>6323492</v>
      </c>
      <c r="AE686" s="197">
        <f t="shared" ref="AE686:AE688" si="1471">J686+M686+P686+S686+V686+Y686+AB686</f>
        <v>0</v>
      </c>
      <c r="AF686" s="197">
        <f>AD686+AE686</f>
        <v>6323492</v>
      </c>
      <c r="AG686" s="197">
        <f>SUM(AG687:AG688)</f>
        <v>2710068</v>
      </c>
      <c r="AH686" s="197">
        <f>SUM(AH687:AH688)</f>
        <v>0</v>
      </c>
      <c r="AI686" s="197">
        <f>AG686+AH686</f>
        <v>2710068</v>
      </c>
      <c r="AJ686" s="197">
        <f>SUM(AJ687:AJ688)</f>
        <v>0</v>
      </c>
      <c r="AK686" s="197">
        <f>SUM(AK687:AK688)</f>
        <v>0</v>
      </c>
      <c r="AL686" s="197"/>
      <c r="AM686" s="197">
        <f t="shared" si="1374"/>
        <v>0</v>
      </c>
      <c r="AN686" s="197">
        <f>SUM(AN687:AN688)</f>
        <v>3613424</v>
      </c>
      <c r="AO686" s="197">
        <f>SUM(AO687:AO688)</f>
        <v>0</v>
      </c>
      <c r="AP686" s="197">
        <f>AN686+AO686</f>
        <v>3613424</v>
      </c>
      <c r="AQ686" s="577">
        <f t="shared" si="1375"/>
        <v>0</v>
      </c>
      <c r="AR686" s="47"/>
    </row>
    <row r="687" spans="2:44" ht="31.9" customHeight="1">
      <c r="B687" s="35" t="s">
        <v>1254</v>
      </c>
      <c r="C687" s="666" t="s">
        <v>1260</v>
      </c>
      <c r="D687" s="92"/>
      <c r="E687" s="796" t="s">
        <v>612</v>
      </c>
      <c r="F687" s="93"/>
      <c r="G687" s="406">
        <v>2024</v>
      </c>
      <c r="H687" s="406">
        <v>2030</v>
      </c>
      <c r="I687" s="83">
        <v>631678</v>
      </c>
      <c r="J687" s="83">
        <v>0</v>
      </c>
      <c r="K687" s="264">
        <f t="shared" ref="K687:K688" si="1472">SUM(I687:J687)</f>
        <v>631678</v>
      </c>
      <c r="L687" s="83">
        <v>631678</v>
      </c>
      <c r="M687" s="83">
        <v>0</v>
      </c>
      <c r="N687" s="264">
        <f t="shared" ref="N687:N688" si="1473">SUM(L687:M687)</f>
        <v>631678</v>
      </c>
      <c r="O687" s="83">
        <v>631678</v>
      </c>
      <c r="P687" s="83">
        <v>0</v>
      </c>
      <c r="Q687" s="264">
        <f t="shared" ref="Q687:Q688" si="1474">SUM(O687:P687)</f>
        <v>631678</v>
      </c>
      <c r="R687" s="83">
        <v>631678</v>
      </c>
      <c r="S687" s="83">
        <v>0</v>
      </c>
      <c r="T687" s="264">
        <f t="shared" ref="T687:T688" si="1475">SUM(R687:S687)</f>
        <v>631678</v>
      </c>
      <c r="U687" s="83">
        <v>631678</v>
      </c>
      <c r="V687" s="83">
        <v>0</v>
      </c>
      <c r="W687" s="264">
        <f t="shared" ref="W687:W688" si="1476">SUM(U687:V687)</f>
        <v>631678</v>
      </c>
      <c r="X687" s="83">
        <v>631678</v>
      </c>
      <c r="Y687" s="83">
        <v>0</v>
      </c>
      <c r="Z687" s="264">
        <f t="shared" ref="Z687:Z688" si="1477">SUM(X687:Y687)</f>
        <v>631678</v>
      </c>
      <c r="AA687" s="83">
        <v>631678</v>
      </c>
      <c r="AB687" s="83">
        <v>0</v>
      </c>
      <c r="AC687" s="264">
        <f t="shared" ref="AC687:AC688" si="1478">SUM(AA687:AB687)</f>
        <v>631678</v>
      </c>
      <c r="AD687" s="83">
        <f t="shared" si="1470"/>
        <v>4421746</v>
      </c>
      <c r="AE687" s="83">
        <f t="shared" si="1471"/>
        <v>0</v>
      </c>
      <c r="AF687" s="264">
        <f t="shared" ref="AF687:AF688" si="1479">AD687+AE687</f>
        <v>4421746</v>
      </c>
      <c r="AG687" s="83">
        <f>631678*3</f>
        <v>1895034</v>
      </c>
      <c r="AH687" s="83">
        <v>0</v>
      </c>
      <c r="AI687" s="264">
        <f t="shared" ref="AI687:AI688" si="1480">SUM(AG687:AH687)</f>
        <v>1895034</v>
      </c>
      <c r="AJ687" s="83">
        <v>0</v>
      </c>
      <c r="AK687" s="83">
        <v>0</v>
      </c>
      <c r="AL687" s="83"/>
      <c r="AM687" s="264">
        <f t="shared" si="1374"/>
        <v>0</v>
      </c>
      <c r="AN687" s="83">
        <f>631678*4</f>
        <v>2526712</v>
      </c>
      <c r="AO687" s="83">
        <v>0</v>
      </c>
      <c r="AP687" s="264">
        <f t="shared" ref="AP687:AP688" si="1481">SUM(AN687:AO687)</f>
        <v>2526712</v>
      </c>
      <c r="AQ687" s="578">
        <f t="shared" si="1375"/>
        <v>0</v>
      </c>
      <c r="AR687" s="47"/>
    </row>
    <row r="688" spans="2:44" ht="31.9" customHeight="1">
      <c r="B688" s="35" t="s">
        <v>1255</v>
      </c>
      <c r="C688" s="666" t="s">
        <v>1261</v>
      </c>
      <c r="D688" s="92"/>
      <c r="E688" s="796" t="s">
        <v>612</v>
      </c>
      <c r="F688" s="93"/>
      <c r="G688" s="406">
        <v>2024</v>
      </c>
      <c r="H688" s="406">
        <v>2030</v>
      </c>
      <c r="I688" s="83">
        <v>271678</v>
      </c>
      <c r="J688" s="83">
        <v>0</v>
      </c>
      <c r="K688" s="264">
        <f t="shared" si="1472"/>
        <v>271678</v>
      </c>
      <c r="L688" s="83">
        <v>271678</v>
      </c>
      <c r="M688" s="83">
        <v>0</v>
      </c>
      <c r="N688" s="264">
        <f t="shared" si="1473"/>
        <v>271678</v>
      </c>
      <c r="O688" s="83">
        <v>271678</v>
      </c>
      <c r="P688" s="83">
        <v>0</v>
      </c>
      <c r="Q688" s="264">
        <f t="shared" si="1474"/>
        <v>271678</v>
      </c>
      <c r="R688" s="83">
        <v>271678</v>
      </c>
      <c r="S688" s="83">
        <v>0</v>
      </c>
      <c r="T688" s="264">
        <f t="shared" si="1475"/>
        <v>271678</v>
      </c>
      <c r="U688" s="83">
        <v>271678</v>
      </c>
      <c r="V688" s="83">
        <v>0</v>
      </c>
      <c r="W688" s="264">
        <f t="shared" si="1476"/>
        <v>271678</v>
      </c>
      <c r="X688" s="83">
        <v>271678</v>
      </c>
      <c r="Y688" s="83">
        <v>0</v>
      </c>
      <c r="Z688" s="264">
        <f t="shared" si="1477"/>
        <v>271678</v>
      </c>
      <c r="AA688" s="83">
        <v>271678</v>
      </c>
      <c r="AB688" s="83">
        <v>0</v>
      </c>
      <c r="AC688" s="264">
        <f t="shared" si="1478"/>
        <v>271678</v>
      </c>
      <c r="AD688" s="83">
        <f t="shared" si="1470"/>
        <v>1901746</v>
      </c>
      <c r="AE688" s="83">
        <f t="shared" si="1471"/>
        <v>0</v>
      </c>
      <c r="AF688" s="264">
        <f t="shared" si="1479"/>
        <v>1901746</v>
      </c>
      <c r="AG688" s="83">
        <f>271678*3</f>
        <v>815034</v>
      </c>
      <c r="AH688" s="83">
        <v>0</v>
      </c>
      <c r="AI688" s="264">
        <f t="shared" si="1480"/>
        <v>815034</v>
      </c>
      <c r="AJ688" s="83">
        <v>0</v>
      </c>
      <c r="AK688" s="83">
        <v>0</v>
      </c>
      <c r="AL688" s="83"/>
      <c r="AM688" s="264">
        <f t="shared" si="1374"/>
        <v>0</v>
      </c>
      <c r="AN688" s="83">
        <f>271678*4</f>
        <v>1086712</v>
      </c>
      <c r="AO688" s="83">
        <v>0</v>
      </c>
      <c r="AP688" s="264">
        <f t="shared" si="1481"/>
        <v>1086712</v>
      </c>
      <c r="AQ688" s="578">
        <f t="shared" si="1375"/>
        <v>0</v>
      </c>
      <c r="AR688" s="47"/>
    </row>
    <row r="689" spans="2:44" ht="31.9" customHeight="1">
      <c r="B689" s="210" t="s">
        <v>1256</v>
      </c>
      <c r="C689" s="571" t="s">
        <v>1274</v>
      </c>
      <c r="D689" s="217"/>
      <c r="E689" s="797" t="s">
        <v>1611</v>
      </c>
      <c r="F689" s="798"/>
      <c r="G689" s="570">
        <v>2025</v>
      </c>
      <c r="H689" s="570">
        <v>2030</v>
      </c>
      <c r="I689" s="197">
        <f>SUM(I690:I693)</f>
        <v>0</v>
      </c>
      <c r="J689" s="197">
        <f>SUM(J690:J693)</f>
        <v>0</v>
      </c>
      <c r="K689" s="197">
        <f>I689+J689</f>
        <v>0</v>
      </c>
      <c r="L689" s="197">
        <f>SUM(L690:L693)</f>
        <v>1560000</v>
      </c>
      <c r="M689" s="197">
        <f>SUM(M690:M693)</f>
        <v>0</v>
      </c>
      <c r="N689" s="197">
        <f>L689+M689</f>
        <v>1560000</v>
      </c>
      <c r="O689" s="197">
        <f>SUM(O690:O693)</f>
        <v>1560000</v>
      </c>
      <c r="P689" s="197">
        <f>SUM(P690:P693)</f>
        <v>0</v>
      </c>
      <c r="Q689" s="197">
        <f>O689+P689</f>
        <v>1560000</v>
      </c>
      <c r="R689" s="197">
        <f>SUM(R690:R693)</f>
        <v>1200000</v>
      </c>
      <c r="S689" s="197">
        <f>SUM(S690:S693)</f>
        <v>0</v>
      </c>
      <c r="T689" s="197">
        <f>R689+S689</f>
        <v>1200000</v>
      </c>
      <c r="U689" s="197">
        <f>SUM(U690:U693)</f>
        <v>1200000</v>
      </c>
      <c r="V689" s="197">
        <f>SUM(V690:V693)</f>
        <v>0</v>
      </c>
      <c r="W689" s="197">
        <f>U689+V689</f>
        <v>1200000</v>
      </c>
      <c r="X689" s="197">
        <f>SUM(X690:X693)</f>
        <v>1200000</v>
      </c>
      <c r="Y689" s="197">
        <f>SUM(Y690:Y693)</f>
        <v>0</v>
      </c>
      <c r="Z689" s="197">
        <f>SUM(X689:Y689)</f>
        <v>1200000</v>
      </c>
      <c r="AA689" s="197">
        <f>SUM(AA690:AA693)</f>
        <v>1200000</v>
      </c>
      <c r="AB689" s="197">
        <f>SUM(AB690:AB693)</f>
        <v>0</v>
      </c>
      <c r="AC689" s="197">
        <f>SUM(AA689:AB689)</f>
        <v>1200000</v>
      </c>
      <c r="AD689" s="197">
        <f t="shared" ref="AD689:AD693" si="1482">I689+L689+O689+R689+U689+X689+AA689</f>
        <v>7920000</v>
      </c>
      <c r="AE689" s="197">
        <f t="shared" ref="AE689:AE690" si="1483">J689+M689+P689+S689+V689+Y689+AB689</f>
        <v>0</v>
      </c>
      <c r="AF689" s="197">
        <f>AD689+AE689</f>
        <v>7920000</v>
      </c>
      <c r="AG689" s="197">
        <f>SUM(AG690:AG693)</f>
        <v>240000</v>
      </c>
      <c r="AH689" s="197">
        <f>SUM(AH690:AH693)</f>
        <v>0</v>
      </c>
      <c r="AI689" s="197">
        <f>AG689+AH689</f>
        <v>240000</v>
      </c>
      <c r="AJ689" s="197">
        <f>SUM(AJ690:AJ693)</f>
        <v>0</v>
      </c>
      <c r="AK689" s="197">
        <f>SUM(AK690:AK693)</f>
        <v>0</v>
      </c>
      <c r="AL689" s="197"/>
      <c r="AM689" s="197">
        <f t="shared" si="1374"/>
        <v>0</v>
      </c>
      <c r="AN689" s="197">
        <f>SUM(AN690:AN693)</f>
        <v>480000</v>
      </c>
      <c r="AO689" s="197">
        <f>SUM(AO690:AO693)</f>
        <v>0</v>
      </c>
      <c r="AP689" s="197">
        <f>AN689+AO689</f>
        <v>480000</v>
      </c>
      <c r="AQ689" s="577">
        <f t="shared" si="1375"/>
        <v>-7200000</v>
      </c>
      <c r="AR689" s="47"/>
    </row>
    <row r="690" spans="2:44" ht="31.9" customHeight="1">
      <c r="B690" s="35" t="s">
        <v>1262</v>
      </c>
      <c r="C690" s="666" t="s">
        <v>1275</v>
      </c>
      <c r="D690" s="92"/>
      <c r="E690" s="663" t="s">
        <v>871</v>
      </c>
      <c r="F690" s="663"/>
      <c r="G690" s="674">
        <v>2025</v>
      </c>
      <c r="H690" s="674">
        <v>2026</v>
      </c>
      <c r="I690" s="83">
        <v>0</v>
      </c>
      <c r="J690" s="83">
        <v>0</v>
      </c>
      <c r="K690" s="264">
        <f t="shared" ref="K690:K693" si="1484">SUM(I690:J690)</f>
        <v>0</v>
      </c>
      <c r="L690" s="83">
        <v>360000</v>
      </c>
      <c r="M690" s="83">
        <v>0</v>
      </c>
      <c r="N690" s="264">
        <f t="shared" ref="N690:N693" si="1485">SUM(L690:M690)</f>
        <v>360000</v>
      </c>
      <c r="O690" s="83">
        <v>360000</v>
      </c>
      <c r="P690" s="83">
        <v>0</v>
      </c>
      <c r="Q690" s="264">
        <f t="shared" ref="Q690:Q693" si="1486">SUM(O690:P690)</f>
        <v>360000</v>
      </c>
      <c r="R690" s="83">
        <v>0</v>
      </c>
      <c r="S690" s="83">
        <v>0</v>
      </c>
      <c r="T690" s="264">
        <f t="shared" ref="T690:T693" si="1487">SUM(R690:S690)</f>
        <v>0</v>
      </c>
      <c r="U690" s="83">
        <v>0</v>
      </c>
      <c r="V690" s="83">
        <v>0</v>
      </c>
      <c r="W690" s="264">
        <f t="shared" ref="W690:W693" si="1488">SUM(U690:V690)</f>
        <v>0</v>
      </c>
      <c r="X690" s="83">
        <v>0</v>
      </c>
      <c r="Y690" s="83">
        <v>0</v>
      </c>
      <c r="Z690" s="264">
        <f t="shared" ref="Z690:Z693" si="1489">SUM(X690:Y690)</f>
        <v>0</v>
      </c>
      <c r="AA690" s="83">
        <v>0</v>
      </c>
      <c r="AB690" s="83">
        <v>0</v>
      </c>
      <c r="AC690" s="264">
        <f t="shared" ref="AC690:AC693" si="1490">SUM(AA690:AB690)</f>
        <v>0</v>
      </c>
      <c r="AD690" s="83">
        <f t="shared" si="1482"/>
        <v>720000</v>
      </c>
      <c r="AE690" s="83">
        <f t="shared" si="1483"/>
        <v>0</v>
      </c>
      <c r="AF690" s="264">
        <f t="shared" ref="AF690:AF693" si="1491">AD690+AE690</f>
        <v>720000</v>
      </c>
      <c r="AG690" s="83">
        <v>0</v>
      </c>
      <c r="AH690" s="83">
        <v>0</v>
      </c>
      <c r="AI690" s="264">
        <f t="shared" ref="AI690:AI693" si="1492">SUM(AG690:AH690)</f>
        <v>0</v>
      </c>
      <c r="AJ690" s="83">
        <v>0</v>
      </c>
      <c r="AK690" s="83">
        <v>0</v>
      </c>
      <c r="AL690" s="83"/>
      <c r="AM690" s="264">
        <f t="shared" si="1374"/>
        <v>0</v>
      </c>
      <c r="AN690" s="83">
        <v>0</v>
      </c>
      <c r="AO690" s="83">
        <v>0</v>
      </c>
      <c r="AP690" s="264">
        <f t="shared" ref="AP690:AP693" si="1493">SUM(AN690:AO690)</f>
        <v>0</v>
      </c>
      <c r="AQ690" s="578">
        <f t="shared" si="1375"/>
        <v>-720000</v>
      </c>
      <c r="AR690" s="47"/>
    </row>
    <row r="691" spans="2:44" ht="31.9" customHeight="1">
      <c r="B691" s="35" t="s">
        <v>1263</v>
      </c>
      <c r="C691" s="666" t="s">
        <v>1276</v>
      </c>
      <c r="D691" s="92"/>
      <c r="E691" s="663" t="s">
        <v>1610</v>
      </c>
      <c r="F691" s="663"/>
      <c r="G691" s="674">
        <v>2025</v>
      </c>
      <c r="H691" s="674">
        <v>2030</v>
      </c>
      <c r="I691" s="83">
        <v>0</v>
      </c>
      <c r="J691" s="83">
        <v>0</v>
      </c>
      <c r="K691" s="264">
        <f t="shared" si="1484"/>
        <v>0</v>
      </c>
      <c r="L691" s="83">
        <v>240000</v>
      </c>
      <c r="M691" s="83">
        <v>0</v>
      </c>
      <c r="N691" s="264">
        <f t="shared" si="1485"/>
        <v>240000</v>
      </c>
      <c r="O691" s="83">
        <v>240000</v>
      </c>
      <c r="P691" s="83">
        <v>0</v>
      </c>
      <c r="Q691" s="264">
        <f t="shared" si="1486"/>
        <v>240000</v>
      </c>
      <c r="R691" s="83">
        <v>240000</v>
      </c>
      <c r="S691" s="83">
        <v>0</v>
      </c>
      <c r="T691" s="264">
        <f t="shared" si="1487"/>
        <v>240000</v>
      </c>
      <c r="U691" s="83">
        <v>240000</v>
      </c>
      <c r="V691" s="83">
        <v>0</v>
      </c>
      <c r="W691" s="264">
        <f t="shared" si="1488"/>
        <v>240000</v>
      </c>
      <c r="X691" s="83">
        <v>240000</v>
      </c>
      <c r="Y691" s="83">
        <v>0</v>
      </c>
      <c r="Z691" s="264">
        <f t="shared" si="1489"/>
        <v>240000</v>
      </c>
      <c r="AA691" s="83">
        <v>240000</v>
      </c>
      <c r="AB691" s="83">
        <v>0</v>
      </c>
      <c r="AC691" s="264">
        <f t="shared" si="1490"/>
        <v>240000</v>
      </c>
      <c r="AD691" s="83">
        <f t="shared" si="1482"/>
        <v>1440000</v>
      </c>
      <c r="AE691" s="83">
        <v>0</v>
      </c>
      <c r="AF691" s="264">
        <f t="shared" si="1491"/>
        <v>1440000</v>
      </c>
      <c r="AG691" s="83">
        <f>120000*2</f>
        <v>240000</v>
      </c>
      <c r="AH691" s="83">
        <v>0</v>
      </c>
      <c r="AI691" s="264">
        <f t="shared" si="1492"/>
        <v>240000</v>
      </c>
      <c r="AJ691" s="83">
        <v>0</v>
      </c>
      <c r="AK691" s="83">
        <v>0</v>
      </c>
      <c r="AL691" s="83"/>
      <c r="AM691" s="264">
        <f t="shared" si="1374"/>
        <v>0</v>
      </c>
      <c r="AN691" s="83">
        <f>120000*4</f>
        <v>480000</v>
      </c>
      <c r="AO691" s="83">
        <v>0</v>
      </c>
      <c r="AP691" s="264">
        <f t="shared" si="1493"/>
        <v>480000</v>
      </c>
      <c r="AQ691" s="578">
        <f t="shared" si="1375"/>
        <v>-720000</v>
      </c>
      <c r="AR691" s="47"/>
    </row>
    <row r="692" spans="2:44" ht="31.9" customHeight="1">
      <c r="B692" s="35" t="s">
        <v>1264</v>
      </c>
      <c r="C692" s="666" t="s">
        <v>1277</v>
      </c>
      <c r="D692" s="92"/>
      <c r="E692" s="663" t="s">
        <v>871</v>
      </c>
      <c r="F692" s="663"/>
      <c r="G692" s="674">
        <v>2025</v>
      </c>
      <c r="H692" s="674">
        <v>2030</v>
      </c>
      <c r="I692" s="83">
        <v>0</v>
      </c>
      <c r="J692" s="83">
        <v>0</v>
      </c>
      <c r="K692" s="264">
        <f t="shared" si="1484"/>
        <v>0</v>
      </c>
      <c r="L692" s="83">
        <v>360000</v>
      </c>
      <c r="M692" s="83">
        <v>0</v>
      </c>
      <c r="N692" s="264">
        <f t="shared" si="1485"/>
        <v>360000</v>
      </c>
      <c r="O692" s="83">
        <v>360000</v>
      </c>
      <c r="P692" s="83">
        <v>0</v>
      </c>
      <c r="Q692" s="264">
        <f t="shared" si="1486"/>
        <v>360000</v>
      </c>
      <c r="R692" s="83">
        <v>360000</v>
      </c>
      <c r="S692" s="83">
        <v>0</v>
      </c>
      <c r="T692" s="264">
        <f t="shared" si="1487"/>
        <v>360000</v>
      </c>
      <c r="U692" s="83">
        <v>360000</v>
      </c>
      <c r="V692" s="83">
        <v>0</v>
      </c>
      <c r="W692" s="264">
        <f t="shared" si="1488"/>
        <v>360000</v>
      </c>
      <c r="X692" s="83">
        <v>360000</v>
      </c>
      <c r="Y692" s="83">
        <v>0</v>
      </c>
      <c r="Z692" s="264">
        <f t="shared" si="1489"/>
        <v>360000</v>
      </c>
      <c r="AA692" s="83">
        <v>360000</v>
      </c>
      <c r="AB692" s="83">
        <v>0</v>
      </c>
      <c r="AC692" s="264">
        <f t="shared" si="1490"/>
        <v>360000</v>
      </c>
      <c r="AD692" s="83">
        <f t="shared" si="1482"/>
        <v>2160000</v>
      </c>
      <c r="AE692" s="83">
        <v>0</v>
      </c>
      <c r="AF692" s="264">
        <f t="shared" si="1491"/>
        <v>2160000</v>
      </c>
      <c r="AG692" s="83">
        <v>0</v>
      </c>
      <c r="AH692" s="83">
        <v>0</v>
      </c>
      <c r="AI692" s="264">
        <f t="shared" si="1492"/>
        <v>0</v>
      </c>
      <c r="AJ692" s="83">
        <v>0</v>
      </c>
      <c r="AK692" s="83">
        <v>0</v>
      </c>
      <c r="AL692" s="83"/>
      <c r="AM692" s="264">
        <f t="shared" si="1374"/>
        <v>0</v>
      </c>
      <c r="AN692" s="83">
        <v>0</v>
      </c>
      <c r="AO692" s="83">
        <v>0</v>
      </c>
      <c r="AP692" s="264">
        <f t="shared" si="1493"/>
        <v>0</v>
      </c>
      <c r="AQ692" s="578">
        <f t="shared" si="1375"/>
        <v>-2160000</v>
      </c>
      <c r="AR692" s="47"/>
    </row>
    <row r="693" spans="2:44" ht="31.9" customHeight="1">
      <c r="B693" s="35" t="s">
        <v>1265</v>
      </c>
      <c r="C693" s="666" t="s">
        <v>1588</v>
      </c>
      <c r="D693" s="92"/>
      <c r="E693" s="663" t="s">
        <v>1610</v>
      </c>
      <c r="F693" s="663"/>
      <c r="G693" s="674">
        <v>2025</v>
      </c>
      <c r="H693" s="674">
        <v>2030</v>
      </c>
      <c r="I693" s="83">
        <v>0</v>
      </c>
      <c r="J693" s="83">
        <v>0</v>
      </c>
      <c r="K693" s="264">
        <f t="shared" si="1484"/>
        <v>0</v>
      </c>
      <c r="L693" s="83">
        <v>600000</v>
      </c>
      <c r="M693" s="83">
        <v>0</v>
      </c>
      <c r="N693" s="264">
        <f t="shared" si="1485"/>
        <v>600000</v>
      </c>
      <c r="O693" s="83">
        <v>600000</v>
      </c>
      <c r="P693" s="83">
        <v>0</v>
      </c>
      <c r="Q693" s="264">
        <f t="shared" si="1486"/>
        <v>600000</v>
      </c>
      <c r="R693" s="83">
        <v>600000</v>
      </c>
      <c r="S693" s="83">
        <v>0</v>
      </c>
      <c r="T693" s="264">
        <f t="shared" si="1487"/>
        <v>600000</v>
      </c>
      <c r="U693" s="83">
        <v>600000</v>
      </c>
      <c r="V693" s="83">
        <v>0</v>
      </c>
      <c r="W693" s="264">
        <f t="shared" si="1488"/>
        <v>600000</v>
      </c>
      <c r="X693" s="83">
        <v>600000</v>
      </c>
      <c r="Y693" s="83">
        <v>0</v>
      </c>
      <c r="Z693" s="264">
        <f t="shared" si="1489"/>
        <v>600000</v>
      </c>
      <c r="AA693" s="83">
        <v>600000</v>
      </c>
      <c r="AB693" s="83">
        <v>0</v>
      </c>
      <c r="AC693" s="264">
        <f t="shared" si="1490"/>
        <v>600000</v>
      </c>
      <c r="AD693" s="83">
        <f t="shared" si="1482"/>
        <v>3600000</v>
      </c>
      <c r="AE693" s="83">
        <v>0</v>
      </c>
      <c r="AF693" s="264">
        <f t="shared" si="1491"/>
        <v>3600000</v>
      </c>
      <c r="AG693" s="83">
        <v>0</v>
      </c>
      <c r="AH693" s="83">
        <v>0</v>
      </c>
      <c r="AI693" s="264">
        <f t="shared" si="1492"/>
        <v>0</v>
      </c>
      <c r="AJ693" s="83">
        <v>0</v>
      </c>
      <c r="AK693" s="83">
        <v>0</v>
      </c>
      <c r="AL693" s="83"/>
      <c r="AM693" s="264">
        <f t="shared" si="1374"/>
        <v>0</v>
      </c>
      <c r="AN693" s="83">
        <v>0</v>
      </c>
      <c r="AO693" s="83">
        <v>0</v>
      </c>
      <c r="AP693" s="264">
        <f t="shared" si="1493"/>
        <v>0</v>
      </c>
      <c r="AQ693" s="578">
        <f t="shared" si="1375"/>
        <v>-3600000</v>
      </c>
      <c r="AR693" s="47"/>
    </row>
    <row r="694" spans="2:44" ht="31.9" customHeight="1">
      <c r="B694" s="210" t="s">
        <v>1266</v>
      </c>
      <c r="C694" s="571" t="s">
        <v>1278</v>
      </c>
      <c r="D694" s="217"/>
      <c r="E694" s="798" t="s">
        <v>1146</v>
      </c>
      <c r="F694" s="798"/>
      <c r="G694" s="570">
        <v>2024</v>
      </c>
      <c r="H694" s="570">
        <v>2030</v>
      </c>
      <c r="I694" s="197">
        <f>SUM(I695:I700)</f>
        <v>991678</v>
      </c>
      <c r="J694" s="197">
        <f>SUM(J695:J700)</f>
        <v>0</v>
      </c>
      <c r="K694" s="197">
        <f>I694+J694</f>
        <v>991678</v>
      </c>
      <c r="L694" s="197">
        <f>SUM(L695:L700)</f>
        <v>991678</v>
      </c>
      <c r="M694" s="197">
        <f>SUM(M695:M700)</f>
        <v>0</v>
      </c>
      <c r="N694" s="197">
        <f>L694+M694</f>
        <v>991678</v>
      </c>
      <c r="O694" s="197">
        <f>SUM(O695:O700)</f>
        <v>1591678</v>
      </c>
      <c r="P694" s="197">
        <f>SUM(P695:P700)</f>
        <v>0</v>
      </c>
      <c r="Q694" s="197">
        <f>O694+P694</f>
        <v>1591678</v>
      </c>
      <c r="R694" s="197">
        <f>SUM(R695:R700)</f>
        <v>991678</v>
      </c>
      <c r="S694" s="197">
        <f>SUM(S695:S700)</f>
        <v>0</v>
      </c>
      <c r="T694" s="197">
        <f>R694+S694</f>
        <v>991678</v>
      </c>
      <c r="U694" s="197">
        <f>SUM(U695:U700)</f>
        <v>991678</v>
      </c>
      <c r="V694" s="197">
        <f>SUM(V695:V700)</f>
        <v>0</v>
      </c>
      <c r="W694" s="197">
        <f>U694+V694</f>
        <v>991678</v>
      </c>
      <c r="X694" s="197">
        <f>SUM(X695:X700)</f>
        <v>991678</v>
      </c>
      <c r="Y694" s="197">
        <f>SUM(Y695:Y700)</f>
        <v>0</v>
      </c>
      <c r="Z694" s="197">
        <f>SUM(X694:Y694)</f>
        <v>991678</v>
      </c>
      <c r="AA694" s="197">
        <f>SUM(AA695:AA700)</f>
        <v>991678</v>
      </c>
      <c r="AB694" s="197">
        <f>SUM(AB695:AB700)</f>
        <v>0</v>
      </c>
      <c r="AC694" s="197">
        <f>SUM(AA694:AB694)</f>
        <v>991678</v>
      </c>
      <c r="AD694" s="197">
        <f t="shared" ref="AD694:AD700" si="1494">I694+L694+O694+R694+U694+X694+AA694</f>
        <v>7541746</v>
      </c>
      <c r="AE694" s="197">
        <f t="shared" ref="AE694:AE695" si="1495">J694+M694+P694+S694+V694+Y694+AB694</f>
        <v>0</v>
      </c>
      <c r="AF694" s="197">
        <f>AD694+AE694</f>
        <v>7541746</v>
      </c>
      <c r="AG694" s="197">
        <f>SUM(AG695:AG700)</f>
        <v>3575034</v>
      </c>
      <c r="AH694" s="197">
        <f>SUM(AH695:AH700)</f>
        <v>0</v>
      </c>
      <c r="AI694" s="197">
        <f>AG694+AH694</f>
        <v>3575034</v>
      </c>
      <c r="AJ694" s="197">
        <f>SUM(AJ695:AJ700)</f>
        <v>0</v>
      </c>
      <c r="AK694" s="197">
        <f>SUM(AK695:AK700)</f>
        <v>0</v>
      </c>
      <c r="AL694" s="197"/>
      <c r="AM694" s="197">
        <f t="shared" si="1374"/>
        <v>0</v>
      </c>
      <c r="AN694" s="197">
        <f>SUM(AN695:AN700)</f>
        <v>3966712</v>
      </c>
      <c r="AO694" s="197">
        <f>SUM(AO695:AO700)</f>
        <v>0</v>
      </c>
      <c r="AP694" s="197">
        <f>AN694+AO694</f>
        <v>3966712</v>
      </c>
      <c r="AQ694" s="754">
        <f t="shared" si="1375"/>
        <v>0</v>
      </c>
      <c r="AR694" s="47"/>
    </row>
    <row r="695" spans="2:44" ht="31.9" customHeight="1">
      <c r="B695" s="35" t="s">
        <v>1267</v>
      </c>
      <c r="C695" s="608" t="s">
        <v>1279</v>
      </c>
      <c r="D695" s="92"/>
      <c r="E695" s="330" t="s">
        <v>1146</v>
      </c>
      <c r="F695" s="330"/>
      <c r="G695" s="406">
        <v>2024</v>
      </c>
      <c r="H695" s="406">
        <v>2030</v>
      </c>
      <c r="I695" s="83">
        <v>631678</v>
      </c>
      <c r="J695" s="83">
        <v>0</v>
      </c>
      <c r="K695" s="264">
        <f t="shared" ref="K695:K700" si="1496">SUM(I695:J695)</f>
        <v>631678</v>
      </c>
      <c r="L695" s="83">
        <v>631678</v>
      </c>
      <c r="M695" s="83">
        <v>0</v>
      </c>
      <c r="N695" s="264">
        <f t="shared" ref="N695:N700" si="1497">SUM(L695:M695)</f>
        <v>631678</v>
      </c>
      <c r="O695" s="83">
        <v>631678</v>
      </c>
      <c r="P695" s="83">
        <v>0</v>
      </c>
      <c r="Q695" s="264">
        <f t="shared" ref="Q695:Q700" si="1498">SUM(O695:P695)</f>
        <v>631678</v>
      </c>
      <c r="R695" s="83">
        <v>631678</v>
      </c>
      <c r="S695" s="83">
        <v>0</v>
      </c>
      <c r="T695" s="264">
        <f t="shared" ref="T695:T700" si="1499">SUM(R695:S695)</f>
        <v>631678</v>
      </c>
      <c r="U695" s="83">
        <v>631678</v>
      </c>
      <c r="V695" s="83">
        <v>0</v>
      </c>
      <c r="W695" s="264">
        <f t="shared" ref="W695:W700" si="1500">SUM(U695:V695)</f>
        <v>631678</v>
      </c>
      <c r="X695" s="83">
        <v>631678</v>
      </c>
      <c r="Y695" s="83">
        <v>0</v>
      </c>
      <c r="Z695" s="264">
        <f t="shared" ref="Z695:Z700" si="1501">SUM(X695:Y695)</f>
        <v>631678</v>
      </c>
      <c r="AA695" s="83">
        <v>631678</v>
      </c>
      <c r="AB695" s="83">
        <v>0</v>
      </c>
      <c r="AC695" s="264">
        <f t="shared" ref="AC695:AC700" si="1502">SUM(AA695:AB695)</f>
        <v>631678</v>
      </c>
      <c r="AD695" s="83">
        <f t="shared" si="1494"/>
        <v>4421746</v>
      </c>
      <c r="AE695" s="83">
        <f t="shared" si="1495"/>
        <v>0</v>
      </c>
      <c r="AF695" s="264">
        <f t="shared" ref="AF695:AF700" si="1503">AD695+AE695</f>
        <v>4421746</v>
      </c>
      <c r="AG695" s="83">
        <f>631678*3</f>
        <v>1895034</v>
      </c>
      <c r="AH695" s="83">
        <v>0</v>
      </c>
      <c r="AI695" s="264">
        <f t="shared" ref="AI695:AI700" si="1504">SUM(AG695:AH695)</f>
        <v>1895034</v>
      </c>
      <c r="AJ695" s="83">
        <v>0</v>
      </c>
      <c r="AK695" s="83">
        <v>0</v>
      </c>
      <c r="AL695" s="83"/>
      <c r="AM695" s="264">
        <f t="shared" si="1374"/>
        <v>0</v>
      </c>
      <c r="AN695" s="83">
        <f>631678*4</f>
        <v>2526712</v>
      </c>
      <c r="AO695" s="83">
        <v>0</v>
      </c>
      <c r="AP695" s="264">
        <f t="shared" ref="AP695:AP700" si="1505">SUM(AN695:AO695)</f>
        <v>2526712</v>
      </c>
      <c r="AQ695" s="755">
        <f t="shared" si="1375"/>
        <v>0</v>
      </c>
      <c r="AR695" s="47"/>
    </row>
    <row r="696" spans="2:44" ht="31.9" customHeight="1">
      <c r="B696" s="35" t="s">
        <v>1268</v>
      </c>
      <c r="C696" s="608" t="s">
        <v>1280</v>
      </c>
      <c r="D696" s="92"/>
      <c r="E696" s="330" t="s">
        <v>1146</v>
      </c>
      <c r="F696" s="330"/>
      <c r="G696" s="406">
        <v>2024</v>
      </c>
      <c r="H696" s="406">
        <v>2030</v>
      </c>
      <c r="I696" s="83">
        <v>240000</v>
      </c>
      <c r="J696" s="83">
        <v>0</v>
      </c>
      <c r="K696" s="264">
        <f t="shared" si="1496"/>
        <v>240000</v>
      </c>
      <c r="L696" s="83">
        <v>240000</v>
      </c>
      <c r="M696" s="83">
        <v>0</v>
      </c>
      <c r="N696" s="264">
        <f t="shared" si="1497"/>
        <v>240000</v>
      </c>
      <c r="O696" s="83">
        <v>240000</v>
      </c>
      <c r="P696" s="83">
        <v>0</v>
      </c>
      <c r="Q696" s="264">
        <f t="shared" si="1498"/>
        <v>240000</v>
      </c>
      <c r="R696" s="83">
        <v>240000</v>
      </c>
      <c r="S696" s="83">
        <v>0</v>
      </c>
      <c r="T696" s="264">
        <f t="shared" si="1499"/>
        <v>240000</v>
      </c>
      <c r="U696" s="83">
        <v>240000</v>
      </c>
      <c r="V696" s="83">
        <v>0</v>
      </c>
      <c r="W696" s="264">
        <f t="shared" si="1500"/>
        <v>240000</v>
      </c>
      <c r="X696" s="83">
        <v>240000</v>
      </c>
      <c r="Y696" s="83">
        <v>0</v>
      </c>
      <c r="Z696" s="264">
        <f t="shared" si="1501"/>
        <v>240000</v>
      </c>
      <c r="AA696" s="83">
        <v>240000</v>
      </c>
      <c r="AB696" s="83">
        <v>0</v>
      </c>
      <c r="AC696" s="264">
        <f t="shared" si="1502"/>
        <v>240000</v>
      </c>
      <c r="AD696" s="83">
        <f t="shared" si="1494"/>
        <v>1680000</v>
      </c>
      <c r="AE696" s="83">
        <v>0</v>
      </c>
      <c r="AF696" s="264">
        <f t="shared" si="1503"/>
        <v>1680000</v>
      </c>
      <c r="AG696" s="83">
        <f>240000*3</f>
        <v>720000</v>
      </c>
      <c r="AH696" s="83">
        <v>0</v>
      </c>
      <c r="AI696" s="264">
        <f t="shared" si="1504"/>
        <v>720000</v>
      </c>
      <c r="AJ696" s="83">
        <v>0</v>
      </c>
      <c r="AK696" s="83">
        <v>0</v>
      </c>
      <c r="AL696" s="83"/>
      <c r="AM696" s="264">
        <f t="shared" si="1374"/>
        <v>0</v>
      </c>
      <c r="AN696" s="83">
        <f>240000*4</f>
        <v>960000</v>
      </c>
      <c r="AO696" s="83">
        <v>0</v>
      </c>
      <c r="AP696" s="264">
        <f t="shared" si="1505"/>
        <v>960000</v>
      </c>
      <c r="AQ696" s="755">
        <f t="shared" si="1375"/>
        <v>0</v>
      </c>
      <c r="AR696" s="47"/>
    </row>
    <row r="697" spans="2:44" ht="31.9" customHeight="1">
      <c r="B697" s="35" t="s">
        <v>1269</v>
      </c>
      <c r="C697" s="608" t="s">
        <v>1281</v>
      </c>
      <c r="D697" s="92"/>
      <c r="E697" s="330" t="s">
        <v>1146</v>
      </c>
      <c r="F697" s="330"/>
      <c r="G697" s="406">
        <v>2024</v>
      </c>
      <c r="H697" s="406">
        <v>2030</v>
      </c>
      <c r="I697" s="83">
        <v>120000</v>
      </c>
      <c r="J697" s="83">
        <v>0</v>
      </c>
      <c r="K697" s="264">
        <f t="shared" si="1496"/>
        <v>120000</v>
      </c>
      <c r="L697" s="83">
        <v>120000</v>
      </c>
      <c r="M697" s="83">
        <v>0</v>
      </c>
      <c r="N697" s="264">
        <f t="shared" si="1497"/>
        <v>120000</v>
      </c>
      <c r="O697" s="83">
        <v>120000</v>
      </c>
      <c r="P697" s="83">
        <v>0</v>
      </c>
      <c r="Q697" s="264">
        <f t="shared" si="1498"/>
        <v>120000</v>
      </c>
      <c r="R697" s="83">
        <v>120000</v>
      </c>
      <c r="S697" s="83">
        <v>0</v>
      </c>
      <c r="T697" s="264">
        <f t="shared" si="1499"/>
        <v>120000</v>
      </c>
      <c r="U697" s="83">
        <v>120000</v>
      </c>
      <c r="V697" s="83">
        <v>0</v>
      </c>
      <c r="W697" s="264">
        <f t="shared" si="1500"/>
        <v>120000</v>
      </c>
      <c r="X697" s="83">
        <v>120000</v>
      </c>
      <c r="Y697" s="83">
        <v>0</v>
      </c>
      <c r="Z697" s="264">
        <f t="shared" si="1501"/>
        <v>120000</v>
      </c>
      <c r="AA697" s="83">
        <v>120000</v>
      </c>
      <c r="AB697" s="83">
        <v>0</v>
      </c>
      <c r="AC697" s="264">
        <f t="shared" si="1502"/>
        <v>120000</v>
      </c>
      <c r="AD697" s="83">
        <f t="shared" si="1494"/>
        <v>840000</v>
      </c>
      <c r="AE697" s="83">
        <v>0</v>
      </c>
      <c r="AF697" s="264">
        <f t="shared" si="1503"/>
        <v>840000</v>
      </c>
      <c r="AG697" s="83">
        <f>120000*3</f>
        <v>360000</v>
      </c>
      <c r="AH697" s="83">
        <v>0</v>
      </c>
      <c r="AI697" s="264">
        <f t="shared" si="1504"/>
        <v>360000</v>
      </c>
      <c r="AJ697" s="83">
        <v>0</v>
      </c>
      <c r="AK697" s="83">
        <v>0</v>
      </c>
      <c r="AL697" s="83"/>
      <c r="AM697" s="264">
        <f t="shared" si="1374"/>
        <v>0</v>
      </c>
      <c r="AN697" s="83">
        <f>120000*4</f>
        <v>480000</v>
      </c>
      <c r="AO697" s="83">
        <v>0</v>
      </c>
      <c r="AP697" s="264">
        <f t="shared" si="1505"/>
        <v>480000</v>
      </c>
      <c r="AQ697" s="755">
        <f t="shared" si="1375"/>
        <v>0</v>
      </c>
      <c r="AR697" s="47"/>
    </row>
    <row r="698" spans="2:44" ht="31.9" customHeight="1">
      <c r="B698" s="35" t="s">
        <v>1270</v>
      </c>
      <c r="C698" s="608" t="s">
        <v>1282</v>
      </c>
      <c r="D698" s="92"/>
      <c r="E698" s="330" t="s">
        <v>1146</v>
      </c>
      <c r="F698" s="330"/>
      <c r="G698" s="406">
        <v>2026</v>
      </c>
      <c r="H698" s="406">
        <v>2026</v>
      </c>
      <c r="I698" s="83">
        <v>0</v>
      </c>
      <c r="J698" s="83">
        <v>0</v>
      </c>
      <c r="K698" s="264">
        <f t="shared" si="1496"/>
        <v>0</v>
      </c>
      <c r="L698" s="83">
        <v>0</v>
      </c>
      <c r="M698" s="83">
        <v>0</v>
      </c>
      <c r="N698" s="264">
        <f t="shared" si="1497"/>
        <v>0</v>
      </c>
      <c r="O698" s="83">
        <v>600000</v>
      </c>
      <c r="P698" s="83">
        <v>0</v>
      </c>
      <c r="Q698" s="264">
        <f t="shared" si="1498"/>
        <v>600000</v>
      </c>
      <c r="R698" s="83">
        <v>0</v>
      </c>
      <c r="S698" s="83">
        <v>0</v>
      </c>
      <c r="T698" s="264">
        <f t="shared" si="1499"/>
        <v>0</v>
      </c>
      <c r="U698" s="83">
        <v>0</v>
      </c>
      <c r="V698" s="83">
        <v>0</v>
      </c>
      <c r="W698" s="264">
        <f t="shared" si="1500"/>
        <v>0</v>
      </c>
      <c r="X698" s="83">
        <v>0</v>
      </c>
      <c r="Y698" s="83">
        <v>0</v>
      </c>
      <c r="Z698" s="264">
        <f t="shared" si="1501"/>
        <v>0</v>
      </c>
      <c r="AA698" s="83">
        <v>0</v>
      </c>
      <c r="AB698" s="83">
        <v>0</v>
      </c>
      <c r="AC698" s="264">
        <f t="shared" si="1502"/>
        <v>0</v>
      </c>
      <c r="AD698" s="83">
        <f t="shared" si="1494"/>
        <v>600000</v>
      </c>
      <c r="AE698" s="83">
        <v>0</v>
      </c>
      <c r="AF698" s="264">
        <f t="shared" si="1503"/>
        <v>600000</v>
      </c>
      <c r="AG698" s="83">
        <v>600000</v>
      </c>
      <c r="AH698" s="83">
        <v>0</v>
      </c>
      <c r="AI698" s="264">
        <f t="shared" si="1504"/>
        <v>600000</v>
      </c>
      <c r="AJ698" s="83">
        <v>0</v>
      </c>
      <c r="AK698" s="83">
        <v>0</v>
      </c>
      <c r="AL698" s="83"/>
      <c r="AM698" s="264">
        <f t="shared" si="1374"/>
        <v>0</v>
      </c>
      <c r="AN698" s="83">
        <v>0</v>
      </c>
      <c r="AO698" s="83">
        <v>0</v>
      </c>
      <c r="AP698" s="264">
        <f t="shared" si="1505"/>
        <v>0</v>
      </c>
      <c r="AQ698" s="755">
        <f t="shared" si="1375"/>
        <v>0</v>
      </c>
      <c r="AR698" s="47"/>
    </row>
    <row r="699" spans="2:44" ht="31.9" customHeight="1">
      <c r="B699" s="35" t="s">
        <v>1271</v>
      </c>
      <c r="C699" s="608" t="s">
        <v>1283</v>
      </c>
      <c r="D699" s="92"/>
      <c r="E699" s="330" t="s">
        <v>1146</v>
      </c>
      <c r="F699" s="330"/>
      <c r="G699" s="406">
        <v>2024</v>
      </c>
      <c r="H699" s="406">
        <v>2030</v>
      </c>
      <c r="I699" s="83">
        <v>0</v>
      </c>
      <c r="J699" s="83">
        <v>0</v>
      </c>
      <c r="K699" s="264">
        <f t="shared" si="1496"/>
        <v>0</v>
      </c>
      <c r="L699" s="83">
        <v>0</v>
      </c>
      <c r="M699" s="83">
        <v>0</v>
      </c>
      <c r="N699" s="264">
        <f t="shared" si="1497"/>
        <v>0</v>
      </c>
      <c r="O699" s="83">
        <v>0</v>
      </c>
      <c r="P699" s="83">
        <v>0</v>
      </c>
      <c r="Q699" s="264">
        <f t="shared" si="1498"/>
        <v>0</v>
      </c>
      <c r="R699" s="83">
        <v>0</v>
      </c>
      <c r="S699" s="83">
        <v>0</v>
      </c>
      <c r="T699" s="264">
        <f t="shared" si="1499"/>
        <v>0</v>
      </c>
      <c r="U699" s="83">
        <v>0</v>
      </c>
      <c r="V699" s="83">
        <v>0</v>
      </c>
      <c r="W699" s="264">
        <f t="shared" si="1500"/>
        <v>0</v>
      </c>
      <c r="X699" s="83">
        <v>0</v>
      </c>
      <c r="Y699" s="83">
        <v>0</v>
      </c>
      <c r="Z699" s="264">
        <f t="shared" si="1501"/>
        <v>0</v>
      </c>
      <c r="AA699" s="83">
        <v>0</v>
      </c>
      <c r="AB699" s="83">
        <v>0</v>
      </c>
      <c r="AC699" s="264">
        <f t="shared" si="1502"/>
        <v>0</v>
      </c>
      <c r="AD699" s="83">
        <f t="shared" si="1494"/>
        <v>0</v>
      </c>
      <c r="AE699" s="83">
        <v>0</v>
      </c>
      <c r="AF699" s="264">
        <f t="shared" si="1503"/>
        <v>0</v>
      </c>
      <c r="AG699" s="83">
        <v>0</v>
      </c>
      <c r="AH699" s="83">
        <v>0</v>
      </c>
      <c r="AI699" s="264">
        <f t="shared" si="1504"/>
        <v>0</v>
      </c>
      <c r="AJ699" s="83">
        <v>0</v>
      </c>
      <c r="AK699" s="83">
        <v>0</v>
      </c>
      <c r="AL699" s="83"/>
      <c r="AM699" s="264">
        <f t="shared" si="1374"/>
        <v>0</v>
      </c>
      <c r="AN699" s="83">
        <v>0</v>
      </c>
      <c r="AO699" s="83">
        <v>0</v>
      </c>
      <c r="AP699" s="264">
        <f t="shared" si="1505"/>
        <v>0</v>
      </c>
      <c r="AQ699" s="755">
        <f>SUM(AP699+AM699+AI699)-AF699</f>
        <v>0</v>
      </c>
      <c r="AR699" s="47"/>
    </row>
    <row r="700" spans="2:44" ht="31.9" customHeight="1">
      <c r="B700" s="35" t="s">
        <v>1272</v>
      </c>
      <c r="C700" s="608" t="s">
        <v>1284</v>
      </c>
      <c r="D700" s="92"/>
      <c r="E700" s="330" t="s">
        <v>1146</v>
      </c>
      <c r="F700" s="330"/>
      <c r="G700" s="406">
        <v>2024</v>
      </c>
      <c r="H700" s="406">
        <v>2030</v>
      </c>
      <c r="I700" s="83">
        <v>0</v>
      </c>
      <c r="J700" s="83">
        <v>0</v>
      </c>
      <c r="K700" s="264">
        <f t="shared" si="1496"/>
        <v>0</v>
      </c>
      <c r="L700" s="83">
        <v>0</v>
      </c>
      <c r="M700" s="83">
        <v>0</v>
      </c>
      <c r="N700" s="264">
        <f t="shared" si="1497"/>
        <v>0</v>
      </c>
      <c r="O700" s="83">
        <v>0</v>
      </c>
      <c r="P700" s="83">
        <v>0</v>
      </c>
      <c r="Q700" s="264">
        <f t="shared" si="1498"/>
        <v>0</v>
      </c>
      <c r="R700" s="83">
        <v>0</v>
      </c>
      <c r="S700" s="83">
        <v>0</v>
      </c>
      <c r="T700" s="264">
        <f t="shared" si="1499"/>
        <v>0</v>
      </c>
      <c r="U700" s="83">
        <v>0</v>
      </c>
      <c r="V700" s="83">
        <v>0</v>
      </c>
      <c r="W700" s="264">
        <f t="shared" si="1500"/>
        <v>0</v>
      </c>
      <c r="X700" s="83">
        <v>0</v>
      </c>
      <c r="Y700" s="83">
        <v>0</v>
      </c>
      <c r="Z700" s="264">
        <f t="shared" si="1501"/>
        <v>0</v>
      </c>
      <c r="AA700" s="83">
        <v>0</v>
      </c>
      <c r="AB700" s="83">
        <v>0</v>
      </c>
      <c r="AC700" s="264">
        <f t="shared" si="1502"/>
        <v>0</v>
      </c>
      <c r="AD700" s="83">
        <f t="shared" si="1494"/>
        <v>0</v>
      </c>
      <c r="AE700" s="83">
        <v>0</v>
      </c>
      <c r="AF700" s="264">
        <f t="shared" si="1503"/>
        <v>0</v>
      </c>
      <c r="AG700" s="83">
        <v>0</v>
      </c>
      <c r="AH700" s="83">
        <v>0</v>
      </c>
      <c r="AI700" s="264">
        <f t="shared" si="1504"/>
        <v>0</v>
      </c>
      <c r="AJ700" s="83">
        <v>0</v>
      </c>
      <c r="AK700" s="83">
        <v>0</v>
      </c>
      <c r="AL700" s="83"/>
      <c r="AM700" s="264">
        <f t="shared" si="1374"/>
        <v>0</v>
      </c>
      <c r="AN700" s="83">
        <v>0</v>
      </c>
      <c r="AO700" s="83">
        <v>0</v>
      </c>
      <c r="AP700" s="264">
        <f t="shared" si="1505"/>
        <v>0</v>
      </c>
      <c r="AQ700" s="755">
        <f t="shared" si="1375"/>
        <v>0</v>
      </c>
      <c r="AR700" s="47"/>
    </row>
    <row r="701" spans="2:44" ht="31.9" customHeight="1" thickBot="1">
      <c r="B701" s="210" t="s">
        <v>1273</v>
      </c>
      <c r="C701" s="571" t="s">
        <v>1290</v>
      </c>
      <c r="D701" s="217"/>
      <c r="E701" s="570" t="s">
        <v>69</v>
      </c>
      <c r="F701" s="570" t="s">
        <v>1294</v>
      </c>
      <c r="G701" s="570">
        <v>2024</v>
      </c>
      <c r="H701" s="570">
        <v>2030</v>
      </c>
      <c r="I701" s="197">
        <f>SUM(I702:I704)</f>
        <v>1607517</v>
      </c>
      <c r="J701" s="197">
        <f>SUM(J702:J704)</f>
        <v>0</v>
      </c>
      <c r="K701" s="197">
        <f>I701+J701</f>
        <v>1607517</v>
      </c>
      <c r="L701" s="197">
        <f>SUM(L702:L704)</f>
        <v>1607517</v>
      </c>
      <c r="M701" s="197">
        <f>SUM(M702:M704)</f>
        <v>0</v>
      </c>
      <c r="N701" s="197">
        <f>L701+M701</f>
        <v>1607517</v>
      </c>
      <c r="O701" s="197">
        <f>SUM(O702:O704)</f>
        <v>1607517</v>
      </c>
      <c r="P701" s="197">
        <f>SUM(P702:P704)</f>
        <v>0</v>
      </c>
      <c r="Q701" s="197">
        <f>O701+P701</f>
        <v>1607517</v>
      </c>
      <c r="R701" s="197">
        <f>SUM(R702:R704)</f>
        <v>1607517</v>
      </c>
      <c r="S701" s="197">
        <f>SUM(S702:S704)</f>
        <v>0</v>
      </c>
      <c r="T701" s="197">
        <f>R701+S701</f>
        <v>1607517</v>
      </c>
      <c r="U701" s="197">
        <f>SUM(U702:U704)</f>
        <v>1607517</v>
      </c>
      <c r="V701" s="197">
        <f>SUM(V702:V704)</f>
        <v>0</v>
      </c>
      <c r="W701" s="197">
        <f>U701+V701</f>
        <v>1607517</v>
      </c>
      <c r="X701" s="197">
        <f>SUM(X702:X704)</f>
        <v>1607517</v>
      </c>
      <c r="Y701" s="197">
        <f>SUM(Y702:Y704)</f>
        <v>0</v>
      </c>
      <c r="Z701" s="197">
        <f>SUM(X701:Y701)</f>
        <v>1607517</v>
      </c>
      <c r="AA701" s="197">
        <f>SUM(AA702:AA704)</f>
        <v>1607517</v>
      </c>
      <c r="AB701" s="197">
        <f>SUM(AB702:AB704)</f>
        <v>0</v>
      </c>
      <c r="AC701" s="197">
        <f>SUM(AA701:AB701)</f>
        <v>1607517</v>
      </c>
      <c r="AD701" s="197">
        <f t="shared" ref="AD701:AD704" si="1506">I701+L701+O701+R701+U701+X701+AA701</f>
        <v>11252619</v>
      </c>
      <c r="AE701" s="197">
        <f t="shared" ref="AE701:AE704" si="1507">J701+M701+P701+S701+V701+Y701+AB701</f>
        <v>0</v>
      </c>
      <c r="AF701" s="197">
        <f>AD701+AE701</f>
        <v>11252619</v>
      </c>
      <c r="AG701" s="197">
        <f>SUM(AG702:AG704)</f>
        <v>2422551</v>
      </c>
      <c r="AH701" s="197">
        <f>SUM(AH702:AH704)</f>
        <v>0</v>
      </c>
      <c r="AI701" s="197">
        <f>AG701+AH701</f>
        <v>2422551</v>
      </c>
      <c r="AJ701" s="197">
        <f>SUM(AJ702:AJ704)</f>
        <v>0</v>
      </c>
      <c r="AK701" s="197">
        <f>SUM(AK702:AK704)</f>
        <v>0</v>
      </c>
      <c r="AL701" s="197"/>
      <c r="AM701" s="197">
        <f t="shared" si="1374"/>
        <v>0</v>
      </c>
      <c r="AN701" s="197">
        <f>SUM(AN702:AN704)</f>
        <v>6430068</v>
      </c>
      <c r="AO701" s="197">
        <f>SUM(AO702:AO704)</f>
        <v>0</v>
      </c>
      <c r="AP701" s="197">
        <f>AN701+AO701</f>
        <v>6430068</v>
      </c>
      <c r="AQ701" s="754">
        <f t="shared" si="1375"/>
        <v>-2400000</v>
      </c>
      <c r="AR701" s="47"/>
    </row>
    <row r="702" spans="2:44" ht="31.9" customHeight="1">
      <c r="B702" s="35" t="s">
        <v>1286</v>
      </c>
      <c r="C702" s="665" t="s">
        <v>1291</v>
      </c>
      <c r="D702" s="92"/>
      <c r="E702" s="662" t="s">
        <v>69</v>
      </c>
      <c r="F702" s="668" t="s">
        <v>1294</v>
      </c>
      <c r="G702" s="406">
        <v>2024</v>
      </c>
      <c r="H702" s="406">
        <v>2030</v>
      </c>
      <c r="I702" s="83">
        <v>135839</v>
      </c>
      <c r="J702" s="83">
        <v>0</v>
      </c>
      <c r="K702" s="264">
        <f t="shared" ref="K702:K704" si="1508">SUM(I702:J702)</f>
        <v>135839</v>
      </c>
      <c r="L702" s="83">
        <v>135839</v>
      </c>
      <c r="M702" s="83">
        <v>0</v>
      </c>
      <c r="N702" s="264">
        <f t="shared" ref="N702:N704" si="1509">SUM(L702:M702)</f>
        <v>135839</v>
      </c>
      <c r="O702" s="83">
        <v>135839</v>
      </c>
      <c r="P702" s="83">
        <v>0</v>
      </c>
      <c r="Q702" s="264">
        <f t="shared" ref="Q702:Q704" si="1510">SUM(O702:P702)</f>
        <v>135839</v>
      </c>
      <c r="R702" s="83">
        <v>135839</v>
      </c>
      <c r="S702" s="83">
        <v>0</v>
      </c>
      <c r="T702" s="264">
        <f t="shared" ref="T702:T704" si="1511">SUM(R702:S702)</f>
        <v>135839</v>
      </c>
      <c r="U702" s="83">
        <v>135839</v>
      </c>
      <c r="V702" s="83">
        <v>0</v>
      </c>
      <c r="W702" s="264">
        <f t="shared" ref="W702:W704" si="1512">SUM(U702:V702)</f>
        <v>135839</v>
      </c>
      <c r="X702" s="83">
        <v>135839</v>
      </c>
      <c r="Y702" s="83">
        <v>0</v>
      </c>
      <c r="Z702" s="264">
        <f t="shared" ref="Z702:Z704" si="1513">SUM(X702:Y702)</f>
        <v>135839</v>
      </c>
      <c r="AA702" s="83">
        <v>135839</v>
      </c>
      <c r="AB702" s="83">
        <v>0</v>
      </c>
      <c r="AC702" s="264">
        <f t="shared" ref="AC702:AC704" si="1514">SUM(AA702:AB702)</f>
        <v>135839</v>
      </c>
      <c r="AD702" s="83">
        <f t="shared" si="1506"/>
        <v>950873</v>
      </c>
      <c r="AE702" s="83">
        <f t="shared" si="1507"/>
        <v>0</v>
      </c>
      <c r="AF702" s="264">
        <f t="shared" ref="AF702:AF704" si="1515">AD702+AE702</f>
        <v>950873</v>
      </c>
      <c r="AG702" s="83">
        <f>135839*3</f>
        <v>407517</v>
      </c>
      <c r="AH702" s="83">
        <v>0</v>
      </c>
      <c r="AI702" s="264">
        <f t="shared" ref="AI702:AI704" si="1516">SUM(AG702:AH702)</f>
        <v>407517</v>
      </c>
      <c r="AJ702" s="83">
        <v>0</v>
      </c>
      <c r="AK702" s="83">
        <v>0</v>
      </c>
      <c r="AL702" s="83"/>
      <c r="AM702" s="264">
        <f t="shared" si="1374"/>
        <v>0</v>
      </c>
      <c r="AN702" s="83">
        <f>135839*4</f>
        <v>543356</v>
      </c>
      <c r="AO702" s="83">
        <v>0</v>
      </c>
      <c r="AP702" s="264">
        <f t="shared" ref="AP702:AP704" si="1517">SUM(AN702:AO702)</f>
        <v>543356</v>
      </c>
      <c r="AQ702" s="755">
        <f t="shared" si="1375"/>
        <v>0</v>
      </c>
      <c r="AR702" s="47"/>
    </row>
    <row r="703" spans="2:44" ht="31.9" customHeight="1">
      <c r="B703" s="35" t="s">
        <v>1287</v>
      </c>
      <c r="C703" s="666" t="s">
        <v>1292</v>
      </c>
      <c r="D703" s="92"/>
      <c r="E703" s="663" t="s">
        <v>69</v>
      </c>
      <c r="F703" s="669" t="s">
        <v>1295</v>
      </c>
      <c r="G703" s="406">
        <v>2024</v>
      </c>
      <c r="H703" s="406">
        <v>2030</v>
      </c>
      <c r="I703" s="83">
        <v>1200000</v>
      </c>
      <c r="J703" s="83">
        <v>0</v>
      </c>
      <c r="K703" s="264">
        <f t="shared" si="1508"/>
        <v>1200000</v>
      </c>
      <c r="L703" s="83">
        <v>1200000</v>
      </c>
      <c r="M703" s="83">
        <v>0</v>
      </c>
      <c r="N703" s="264">
        <f t="shared" si="1509"/>
        <v>1200000</v>
      </c>
      <c r="O703" s="83">
        <v>1200000</v>
      </c>
      <c r="P703" s="83">
        <v>0</v>
      </c>
      <c r="Q703" s="264">
        <f t="shared" si="1510"/>
        <v>1200000</v>
      </c>
      <c r="R703" s="83">
        <v>1200000</v>
      </c>
      <c r="S703" s="83">
        <v>0</v>
      </c>
      <c r="T703" s="264">
        <f t="shared" si="1511"/>
        <v>1200000</v>
      </c>
      <c r="U703" s="83">
        <v>1200000</v>
      </c>
      <c r="V703" s="83">
        <v>0</v>
      </c>
      <c r="W703" s="264">
        <f t="shared" si="1512"/>
        <v>1200000</v>
      </c>
      <c r="X703" s="83">
        <v>1200000</v>
      </c>
      <c r="Y703" s="83">
        <v>0</v>
      </c>
      <c r="Z703" s="264">
        <f t="shared" si="1513"/>
        <v>1200000</v>
      </c>
      <c r="AA703" s="83">
        <v>1200000</v>
      </c>
      <c r="AB703" s="83">
        <v>0</v>
      </c>
      <c r="AC703" s="264">
        <f t="shared" si="1514"/>
        <v>1200000</v>
      </c>
      <c r="AD703" s="83">
        <f t="shared" si="1506"/>
        <v>8400000</v>
      </c>
      <c r="AE703" s="83">
        <f t="shared" si="1507"/>
        <v>0</v>
      </c>
      <c r="AF703" s="264">
        <f t="shared" si="1515"/>
        <v>8400000</v>
      </c>
      <c r="AG703" s="83">
        <f>1200000*1</f>
        <v>1200000</v>
      </c>
      <c r="AH703" s="83">
        <v>0</v>
      </c>
      <c r="AI703" s="264">
        <f t="shared" si="1516"/>
        <v>1200000</v>
      </c>
      <c r="AJ703" s="83">
        <v>0</v>
      </c>
      <c r="AK703" s="83">
        <v>0</v>
      </c>
      <c r="AL703" s="83"/>
      <c r="AM703" s="264">
        <f t="shared" si="1374"/>
        <v>0</v>
      </c>
      <c r="AN703" s="83">
        <f>1200000*4</f>
        <v>4800000</v>
      </c>
      <c r="AO703" s="83">
        <v>0</v>
      </c>
      <c r="AP703" s="264">
        <f t="shared" si="1517"/>
        <v>4800000</v>
      </c>
      <c r="AQ703" s="755">
        <f t="shared" si="1375"/>
        <v>-2400000</v>
      </c>
      <c r="AR703" s="47"/>
    </row>
    <row r="704" spans="2:44" ht="31.9" customHeight="1">
      <c r="B704" s="35" t="s">
        <v>1288</v>
      </c>
      <c r="C704" s="681" t="s">
        <v>1293</v>
      </c>
      <c r="D704" s="92"/>
      <c r="E704" s="680" t="s">
        <v>69</v>
      </c>
      <c r="F704" s="682" t="s">
        <v>1295</v>
      </c>
      <c r="G704" s="406">
        <v>2024</v>
      </c>
      <c r="H704" s="406">
        <v>2030</v>
      </c>
      <c r="I704" s="83">
        <v>271678</v>
      </c>
      <c r="J704" s="83">
        <v>0</v>
      </c>
      <c r="K704" s="264">
        <f t="shared" si="1508"/>
        <v>271678</v>
      </c>
      <c r="L704" s="83">
        <v>271678</v>
      </c>
      <c r="M704" s="83">
        <v>0</v>
      </c>
      <c r="N704" s="264">
        <f t="shared" si="1509"/>
        <v>271678</v>
      </c>
      <c r="O704" s="83">
        <v>271678</v>
      </c>
      <c r="P704" s="83">
        <v>0</v>
      </c>
      <c r="Q704" s="264">
        <f t="shared" si="1510"/>
        <v>271678</v>
      </c>
      <c r="R704" s="83">
        <v>271678</v>
      </c>
      <c r="S704" s="83">
        <v>0</v>
      </c>
      <c r="T704" s="264">
        <f t="shared" si="1511"/>
        <v>271678</v>
      </c>
      <c r="U704" s="83">
        <v>271678</v>
      </c>
      <c r="V704" s="83">
        <v>0</v>
      </c>
      <c r="W704" s="264">
        <f t="shared" si="1512"/>
        <v>271678</v>
      </c>
      <c r="X704" s="83">
        <v>271678</v>
      </c>
      <c r="Y704" s="83">
        <v>0</v>
      </c>
      <c r="Z704" s="264">
        <f t="shared" si="1513"/>
        <v>271678</v>
      </c>
      <c r="AA704" s="83">
        <v>271678</v>
      </c>
      <c r="AB704" s="83">
        <v>0</v>
      </c>
      <c r="AC704" s="264">
        <f t="shared" si="1514"/>
        <v>271678</v>
      </c>
      <c r="AD704" s="83">
        <f t="shared" si="1506"/>
        <v>1901746</v>
      </c>
      <c r="AE704" s="83">
        <f t="shared" si="1507"/>
        <v>0</v>
      </c>
      <c r="AF704" s="264">
        <f t="shared" si="1515"/>
        <v>1901746</v>
      </c>
      <c r="AG704" s="83">
        <f>271678*3</f>
        <v>815034</v>
      </c>
      <c r="AH704" s="83">
        <v>0</v>
      </c>
      <c r="AI704" s="264">
        <f t="shared" si="1516"/>
        <v>815034</v>
      </c>
      <c r="AJ704" s="83">
        <v>0</v>
      </c>
      <c r="AK704" s="83">
        <v>0</v>
      </c>
      <c r="AL704" s="83"/>
      <c r="AM704" s="264">
        <f t="shared" si="1374"/>
        <v>0</v>
      </c>
      <c r="AN704" s="83">
        <f>271678*4</f>
        <v>1086712</v>
      </c>
      <c r="AO704" s="83">
        <v>0</v>
      </c>
      <c r="AP704" s="264">
        <f t="shared" si="1517"/>
        <v>1086712</v>
      </c>
      <c r="AQ704" s="755">
        <f t="shared" si="1375"/>
        <v>0</v>
      </c>
      <c r="AR704" s="47"/>
    </row>
    <row r="705" spans="2:44" ht="31.9" customHeight="1" thickBot="1">
      <c r="B705" s="210" t="s">
        <v>1285</v>
      </c>
      <c r="C705" s="571" t="s">
        <v>1296</v>
      </c>
      <c r="D705" s="217"/>
      <c r="E705" s="570" t="s">
        <v>69</v>
      </c>
      <c r="F705" s="570" t="s">
        <v>1300</v>
      </c>
      <c r="G705" s="570">
        <v>2024</v>
      </c>
      <c r="H705" s="570">
        <v>2030</v>
      </c>
      <c r="I705" s="197">
        <f>SUM(I706:I708)</f>
        <v>1200000</v>
      </c>
      <c r="J705" s="197">
        <f>SUM(J706:J708)</f>
        <v>0</v>
      </c>
      <c r="K705" s="197">
        <f>I705+J705</f>
        <v>1200000</v>
      </c>
      <c r="L705" s="197">
        <f>SUM(L706:L708)</f>
        <v>600000</v>
      </c>
      <c r="M705" s="197">
        <f>SUM(M706:M708)</f>
        <v>0</v>
      </c>
      <c r="N705" s="197">
        <f>L705+M705</f>
        <v>600000</v>
      </c>
      <c r="O705" s="197">
        <f>SUM(O706:O708)</f>
        <v>600000</v>
      </c>
      <c r="P705" s="197">
        <f>SUM(P706:P708)</f>
        <v>0</v>
      </c>
      <c r="Q705" s="197">
        <f>O705+P705</f>
        <v>600000</v>
      </c>
      <c r="R705" s="197">
        <f>SUM(R706:R708)</f>
        <v>600000</v>
      </c>
      <c r="S705" s="197">
        <f>SUM(S706:S708)</f>
        <v>0</v>
      </c>
      <c r="T705" s="197">
        <f>R705+S705</f>
        <v>600000</v>
      </c>
      <c r="U705" s="197">
        <f>SUM(U706:U708)</f>
        <v>600000</v>
      </c>
      <c r="V705" s="197">
        <f>SUM(V706:V708)</f>
        <v>0</v>
      </c>
      <c r="W705" s="197">
        <f>U705+V705</f>
        <v>600000</v>
      </c>
      <c r="X705" s="197">
        <f>SUM(X706:X708)</f>
        <v>600000</v>
      </c>
      <c r="Y705" s="197">
        <f>SUM(Y706:Y708)</f>
        <v>0</v>
      </c>
      <c r="Z705" s="197">
        <f>SUM(X705:Y705)</f>
        <v>600000</v>
      </c>
      <c r="AA705" s="197">
        <f>SUM(AA706:AA708)</f>
        <v>600000</v>
      </c>
      <c r="AB705" s="197">
        <f>SUM(AB706:AB708)</f>
        <v>0</v>
      </c>
      <c r="AC705" s="197">
        <f>SUM(AA705:AB705)</f>
        <v>600000</v>
      </c>
      <c r="AD705" s="197">
        <f t="shared" ref="AD705:AD708" si="1518">I705+L705+O705+R705+U705+X705+AA705</f>
        <v>4800000</v>
      </c>
      <c r="AE705" s="197">
        <f t="shared" ref="AE705:AE708" si="1519">J705+M705+P705+S705+V705+Y705+AB705</f>
        <v>0</v>
      </c>
      <c r="AF705" s="197">
        <f>AD705+AE705</f>
        <v>4800000</v>
      </c>
      <c r="AG705" s="197">
        <f>SUM(AG706:AG708)</f>
        <v>600000</v>
      </c>
      <c r="AH705" s="197">
        <f>SUM(AH706:AH708)</f>
        <v>0</v>
      </c>
      <c r="AI705" s="197">
        <f>AG705+AH705</f>
        <v>600000</v>
      </c>
      <c r="AJ705" s="197">
        <f>SUM(AJ706:AJ708)</f>
        <v>0</v>
      </c>
      <c r="AK705" s="197">
        <f>SUM(AK706:AK708)</f>
        <v>0</v>
      </c>
      <c r="AL705" s="197"/>
      <c r="AM705" s="197">
        <f t="shared" si="1374"/>
        <v>0</v>
      </c>
      <c r="AN705" s="197">
        <f>SUM(AN706:AN708)</f>
        <v>2400000</v>
      </c>
      <c r="AO705" s="197">
        <f>SUM(AO706:AO708)</f>
        <v>0</v>
      </c>
      <c r="AP705" s="197">
        <f>AN705+AO705</f>
        <v>2400000</v>
      </c>
      <c r="AQ705" s="683">
        <f t="shared" si="1375"/>
        <v>-1800000</v>
      </c>
      <c r="AR705" s="47"/>
    </row>
    <row r="706" spans="2:44" ht="31.9" customHeight="1">
      <c r="B706" s="35" t="s">
        <v>1301</v>
      </c>
      <c r="C706" s="665" t="s">
        <v>1297</v>
      </c>
      <c r="D706" s="92"/>
      <c r="E706" s="662" t="s">
        <v>69</v>
      </c>
      <c r="F706" s="668" t="s">
        <v>1300</v>
      </c>
      <c r="G706" s="406">
        <v>2024</v>
      </c>
      <c r="H706" s="406">
        <v>2030</v>
      </c>
      <c r="I706" s="83">
        <v>0</v>
      </c>
      <c r="J706" s="83">
        <v>0</v>
      </c>
      <c r="K706" s="264">
        <f t="shared" ref="K706:K708" si="1520">SUM(I706:J706)</f>
        <v>0</v>
      </c>
      <c r="L706" s="83">
        <v>0</v>
      </c>
      <c r="M706" s="83">
        <v>0</v>
      </c>
      <c r="N706" s="264">
        <f t="shared" ref="N706:N708" si="1521">SUM(L706:M706)</f>
        <v>0</v>
      </c>
      <c r="O706" s="83">
        <v>0</v>
      </c>
      <c r="P706" s="83">
        <v>0</v>
      </c>
      <c r="Q706" s="264">
        <f t="shared" ref="Q706:Q708" si="1522">SUM(O706:P706)</f>
        <v>0</v>
      </c>
      <c r="R706" s="83">
        <v>0</v>
      </c>
      <c r="S706" s="83">
        <v>0</v>
      </c>
      <c r="T706" s="264">
        <f t="shared" ref="T706:T708" si="1523">SUM(R706:S706)</f>
        <v>0</v>
      </c>
      <c r="U706" s="83">
        <v>0</v>
      </c>
      <c r="V706" s="83">
        <v>0</v>
      </c>
      <c r="W706" s="264">
        <f t="shared" ref="W706:W708" si="1524">SUM(U706:V706)</f>
        <v>0</v>
      </c>
      <c r="X706" s="83">
        <v>0</v>
      </c>
      <c r="Y706" s="83">
        <v>0</v>
      </c>
      <c r="Z706" s="264">
        <f t="shared" ref="Z706:Z708" si="1525">SUM(X706:Y706)</f>
        <v>0</v>
      </c>
      <c r="AA706" s="83">
        <v>0</v>
      </c>
      <c r="AB706" s="83">
        <v>0</v>
      </c>
      <c r="AC706" s="264">
        <f t="shared" ref="AC706:AC708" si="1526">SUM(AA706:AB706)</f>
        <v>0</v>
      </c>
      <c r="AD706" s="83">
        <f t="shared" si="1518"/>
        <v>0</v>
      </c>
      <c r="AE706" s="83">
        <f t="shared" si="1519"/>
        <v>0</v>
      </c>
      <c r="AF706" s="264">
        <f t="shared" ref="AF706:AF708" si="1527">AD706+AE706</f>
        <v>0</v>
      </c>
      <c r="AG706" s="83">
        <v>0</v>
      </c>
      <c r="AH706" s="83">
        <v>0</v>
      </c>
      <c r="AI706" s="264">
        <f t="shared" ref="AI706:AI708" si="1528">SUM(AG706:AH706)</f>
        <v>0</v>
      </c>
      <c r="AJ706" s="83">
        <v>0</v>
      </c>
      <c r="AK706" s="83">
        <v>0</v>
      </c>
      <c r="AL706" s="83"/>
      <c r="AM706" s="264">
        <f t="shared" si="1374"/>
        <v>0</v>
      </c>
      <c r="AN706" s="83">
        <v>0</v>
      </c>
      <c r="AO706" s="83">
        <v>0</v>
      </c>
      <c r="AP706" s="264">
        <f t="shared" ref="AP706:AP708" si="1529">SUM(AN706:AO706)</f>
        <v>0</v>
      </c>
      <c r="AQ706" s="578">
        <f t="shared" si="1375"/>
        <v>0</v>
      </c>
      <c r="AR706" s="47"/>
    </row>
    <row r="707" spans="2:44" ht="31.9" customHeight="1">
      <c r="B707" s="35" t="s">
        <v>1302</v>
      </c>
      <c r="C707" s="666" t="s">
        <v>1298</v>
      </c>
      <c r="D707" s="92"/>
      <c r="E707" s="663" t="s">
        <v>69</v>
      </c>
      <c r="F707" s="669" t="s">
        <v>1300</v>
      </c>
      <c r="G707" s="406">
        <v>2024</v>
      </c>
      <c r="H707" s="406">
        <v>2030</v>
      </c>
      <c r="I707" s="83">
        <v>600000</v>
      </c>
      <c r="J707" s="83">
        <v>0</v>
      </c>
      <c r="K707" s="264">
        <f t="shared" si="1520"/>
        <v>600000</v>
      </c>
      <c r="L707" s="83">
        <v>600000</v>
      </c>
      <c r="M707" s="83">
        <v>0</v>
      </c>
      <c r="N707" s="264">
        <f t="shared" si="1521"/>
        <v>600000</v>
      </c>
      <c r="O707" s="83">
        <v>600000</v>
      </c>
      <c r="P707" s="83">
        <v>0</v>
      </c>
      <c r="Q707" s="264">
        <f t="shared" si="1522"/>
        <v>600000</v>
      </c>
      <c r="R707" s="83">
        <v>600000</v>
      </c>
      <c r="S707" s="83">
        <v>0</v>
      </c>
      <c r="T707" s="264">
        <f t="shared" si="1523"/>
        <v>600000</v>
      </c>
      <c r="U707" s="83">
        <v>600000</v>
      </c>
      <c r="V707" s="83">
        <v>0</v>
      </c>
      <c r="W707" s="264">
        <f t="shared" si="1524"/>
        <v>600000</v>
      </c>
      <c r="X707" s="83">
        <v>600000</v>
      </c>
      <c r="Y707" s="83">
        <v>0</v>
      </c>
      <c r="Z707" s="264">
        <f t="shared" si="1525"/>
        <v>600000</v>
      </c>
      <c r="AA707" s="83">
        <v>600000</v>
      </c>
      <c r="AB707" s="83">
        <v>0</v>
      </c>
      <c r="AC707" s="264">
        <f t="shared" si="1526"/>
        <v>600000</v>
      </c>
      <c r="AD707" s="83">
        <f t="shared" si="1518"/>
        <v>4200000</v>
      </c>
      <c r="AE707" s="83">
        <f t="shared" si="1519"/>
        <v>0</v>
      </c>
      <c r="AF707" s="264">
        <f t="shared" si="1527"/>
        <v>4200000</v>
      </c>
      <c r="AG707" s="83">
        <f>600000*1</f>
        <v>600000</v>
      </c>
      <c r="AH707" s="83"/>
      <c r="AI707" s="264">
        <f t="shared" si="1528"/>
        <v>600000</v>
      </c>
      <c r="AJ707" s="83">
        <v>0</v>
      </c>
      <c r="AK707" s="83">
        <v>0</v>
      </c>
      <c r="AL707" s="83"/>
      <c r="AM707" s="264">
        <f t="shared" si="1374"/>
        <v>0</v>
      </c>
      <c r="AN707" s="83">
        <f>600000*4</f>
        <v>2400000</v>
      </c>
      <c r="AO707" s="83">
        <v>0</v>
      </c>
      <c r="AP707" s="264">
        <f t="shared" si="1529"/>
        <v>2400000</v>
      </c>
      <c r="AQ707" s="578">
        <f t="shared" si="1375"/>
        <v>-1200000</v>
      </c>
      <c r="AR707" s="47"/>
    </row>
    <row r="708" spans="2:44" ht="31.9" customHeight="1" thickBot="1">
      <c r="B708" s="35" t="s">
        <v>1303</v>
      </c>
      <c r="C708" s="667" t="s">
        <v>1299</v>
      </c>
      <c r="D708" s="92"/>
      <c r="E708" s="664" t="s">
        <v>1018</v>
      </c>
      <c r="F708" s="670"/>
      <c r="G708" s="406">
        <v>2024</v>
      </c>
      <c r="H708" s="406">
        <v>2024</v>
      </c>
      <c r="I708" s="83">
        <v>600000</v>
      </c>
      <c r="J708" s="83">
        <v>0</v>
      </c>
      <c r="K708" s="264">
        <f t="shared" si="1520"/>
        <v>600000</v>
      </c>
      <c r="L708" s="83">
        <v>0</v>
      </c>
      <c r="M708" s="83">
        <v>0</v>
      </c>
      <c r="N708" s="264">
        <f t="shared" si="1521"/>
        <v>0</v>
      </c>
      <c r="O708" s="83">
        <v>0</v>
      </c>
      <c r="P708" s="83">
        <v>0</v>
      </c>
      <c r="Q708" s="264">
        <f t="shared" si="1522"/>
        <v>0</v>
      </c>
      <c r="R708" s="83">
        <v>0</v>
      </c>
      <c r="S708" s="83">
        <v>0</v>
      </c>
      <c r="T708" s="264">
        <f t="shared" si="1523"/>
        <v>0</v>
      </c>
      <c r="U708" s="83">
        <v>0</v>
      </c>
      <c r="V708" s="83">
        <v>0</v>
      </c>
      <c r="W708" s="264">
        <f t="shared" si="1524"/>
        <v>0</v>
      </c>
      <c r="X708" s="83">
        <v>0</v>
      </c>
      <c r="Y708" s="83">
        <v>0</v>
      </c>
      <c r="Z708" s="264">
        <f t="shared" si="1525"/>
        <v>0</v>
      </c>
      <c r="AA708" s="83">
        <v>0</v>
      </c>
      <c r="AB708" s="83">
        <v>0</v>
      </c>
      <c r="AC708" s="264">
        <f t="shared" si="1526"/>
        <v>0</v>
      </c>
      <c r="AD708" s="83">
        <f t="shared" si="1518"/>
        <v>600000</v>
      </c>
      <c r="AE708" s="83">
        <f t="shared" si="1519"/>
        <v>0</v>
      </c>
      <c r="AF708" s="264">
        <f t="shared" si="1527"/>
        <v>600000</v>
      </c>
      <c r="AG708" s="83">
        <v>0</v>
      </c>
      <c r="AH708" s="83">
        <v>0</v>
      </c>
      <c r="AI708" s="264">
        <f t="shared" si="1528"/>
        <v>0</v>
      </c>
      <c r="AJ708" s="83">
        <v>0</v>
      </c>
      <c r="AK708" s="83">
        <v>0</v>
      </c>
      <c r="AL708" s="83"/>
      <c r="AM708" s="264">
        <f t="shared" si="1374"/>
        <v>0</v>
      </c>
      <c r="AN708" s="83">
        <v>0</v>
      </c>
      <c r="AO708" s="83">
        <v>0</v>
      </c>
      <c r="AP708" s="264">
        <f t="shared" si="1529"/>
        <v>0</v>
      </c>
      <c r="AQ708" s="578">
        <f t="shared" si="1375"/>
        <v>-600000</v>
      </c>
      <c r="AR708" s="47"/>
    </row>
    <row r="709" spans="2:44" ht="31.9" customHeight="1" thickBot="1">
      <c r="B709" s="206"/>
      <c r="C709" s="237" t="s">
        <v>1289</v>
      </c>
      <c r="D709" s="237"/>
      <c r="E709" s="616"/>
      <c r="F709" s="616"/>
      <c r="G709" s="616"/>
      <c r="H709" s="616"/>
      <c r="I709" s="484">
        <f>SUM(I650,I655,I661,I664,I670,I672,I678,I683,I686,I689,I694,I701,I705)</f>
        <v>8961225</v>
      </c>
      <c r="J709" s="484">
        <f t="shared" ref="J709:AK709" si="1530">SUM(J650,J655,J661,J664,J670,J672,J678,J683,J686,J689,J694,J701,J705)</f>
        <v>0</v>
      </c>
      <c r="K709" s="484">
        <f t="shared" si="1530"/>
        <v>8961225</v>
      </c>
      <c r="L709" s="484">
        <f t="shared" si="1530"/>
        <v>15100139</v>
      </c>
      <c r="M709" s="484">
        <f t="shared" si="1530"/>
        <v>0</v>
      </c>
      <c r="N709" s="484">
        <f t="shared" si="1530"/>
        <v>15100139</v>
      </c>
      <c r="O709" s="484">
        <f t="shared" si="1530"/>
        <v>12162557</v>
      </c>
      <c r="P709" s="484">
        <f t="shared" si="1530"/>
        <v>0</v>
      </c>
      <c r="Q709" s="484">
        <f t="shared" si="1530"/>
        <v>12162557</v>
      </c>
      <c r="R709" s="484">
        <f t="shared" si="1530"/>
        <v>11202557</v>
      </c>
      <c r="S709" s="484">
        <f t="shared" si="1530"/>
        <v>0</v>
      </c>
      <c r="T709" s="484">
        <f t="shared" si="1530"/>
        <v>11202557</v>
      </c>
      <c r="U709" s="484">
        <f t="shared" si="1530"/>
        <v>11202557</v>
      </c>
      <c r="V709" s="484">
        <f t="shared" si="1530"/>
        <v>0</v>
      </c>
      <c r="W709" s="484">
        <f t="shared" si="1530"/>
        <v>11202557</v>
      </c>
      <c r="X709" s="484">
        <f t="shared" si="1530"/>
        <v>11202557</v>
      </c>
      <c r="Y709" s="484">
        <f t="shared" si="1530"/>
        <v>0</v>
      </c>
      <c r="Z709" s="484">
        <f t="shared" si="1530"/>
        <v>11202557</v>
      </c>
      <c r="AA709" s="484">
        <f t="shared" si="1530"/>
        <v>11202557</v>
      </c>
      <c r="AB709" s="484">
        <f t="shared" si="1530"/>
        <v>0</v>
      </c>
      <c r="AC709" s="484">
        <f t="shared" si="1530"/>
        <v>11202557</v>
      </c>
      <c r="AD709" s="484">
        <f t="shared" si="1530"/>
        <v>81034149</v>
      </c>
      <c r="AE709" s="484">
        <f t="shared" si="1530"/>
        <v>0</v>
      </c>
      <c r="AF709" s="484">
        <f t="shared" si="1530"/>
        <v>81034149</v>
      </c>
      <c r="AG709" s="484">
        <f t="shared" si="1530"/>
        <v>26443921</v>
      </c>
      <c r="AH709" s="484">
        <f t="shared" si="1530"/>
        <v>0</v>
      </c>
      <c r="AI709" s="484">
        <f t="shared" si="1530"/>
        <v>26443921</v>
      </c>
      <c r="AJ709" s="484">
        <f t="shared" si="1530"/>
        <v>0</v>
      </c>
      <c r="AK709" s="484">
        <f t="shared" si="1530"/>
        <v>0</v>
      </c>
      <c r="AL709" s="484"/>
      <c r="AM709" s="484">
        <f t="shared" ref="AM709:AQ709" si="1531">SUM(AM650,AM655,AM661,AM664,AM670,AM672,AM678,AM683,AM686,AM689,AM694,AM701,AM705)</f>
        <v>0</v>
      </c>
      <c r="AN709" s="484">
        <f t="shared" si="1531"/>
        <v>40490228</v>
      </c>
      <c r="AO709" s="484">
        <f t="shared" si="1531"/>
        <v>0</v>
      </c>
      <c r="AP709" s="484">
        <f t="shared" si="1531"/>
        <v>40490228</v>
      </c>
      <c r="AQ709" s="591">
        <f t="shared" si="1531"/>
        <v>-14100000</v>
      </c>
      <c r="AR709" s="47" t="e">
        <f>SUM(AR650,AR655,AR661,AR664,AR670,AR672,AR678,AR683,AR686,AR689,AR694,AR701,AR705,#REF!)</f>
        <v>#REF!</v>
      </c>
    </row>
    <row r="710" spans="2:44" ht="47.45" customHeight="1">
      <c r="B710" s="55">
        <v>5.2</v>
      </c>
      <c r="C710" s="845" t="s">
        <v>1305</v>
      </c>
      <c r="D710" s="846"/>
      <c r="E710" s="90"/>
      <c r="F710" s="90"/>
      <c r="G710" s="90"/>
      <c r="H710" s="90"/>
      <c r="I710" s="103"/>
      <c r="J710" s="103"/>
      <c r="K710" s="103"/>
      <c r="L710" s="103"/>
      <c r="M710" s="103"/>
      <c r="N710" s="103"/>
      <c r="O710" s="103"/>
      <c r="P710" s="103"/>
      <c r="Q710" s="103"/>
      <c r="R710" s="103"/>
      <c r="S710" s="103"/>
      <c r="T710" s="103"/>
      <c r="U710" s="103"/>
      <c r="V710" s="103"/>
      <c r="W710" s="103"/>
      <c r="X710" s="103"/>
      <c r="Y710" s="103"/>
      <c r="Z710" s="103"/>
      <c r="AA710" s="103"/>
      <c r="AB710" s="103"/>
      <c r="AC710" s="103"/>
      <c r="AD710" s="103"/>
      <c r="AE710" s="103"/>
      <c r="AF710" s="103"/>
      <c r="AG710" s="103"/>
      <c r="AH710" s="103"/>
      <c r="AI710" s="103"/>
      <c r="AJ710" s="103"/>
      <c r="AK710" s="103"/>
      <c r="AL710" s="103"/>
      <c r="AM710" s="103"/>
      <c r="AN710" s="103"/>
      <c r="AO710" s="103"/>
      <c r="AP710" s="103"/>
      <c r="AQ710" s="306"/>
      <c r="AR710" s="47"/>
    </row>
    <row r="711" spans="2:44" ht="31.9" customHeight="1">
      <c r="B711" s="35"/>
      <c r="C711" s="675" t="s">
        <v>68</v>
      </c>
      <c r="D711" s="180"/>
      <c r="E711" s="631"/>
      <c r="F711" s="631"/>
      <c r="G711" s="631"/>
      <c r="H711" s="631"/>
      <c r="I711" s="586"/>
      <c r="J711" s="586"/>
      <c r="K711" s="83"/>
      <c r="L711" s="83"/>
      <c r="M711" s="83"/>
      <c r="N711" s="83"/>
      <c r="O711" s="83"/>
      <c r="P711" s="83"/>
      <c r="Q711" s="83"/>
      <c r="R711" s="83"/>
      <c r="S711" s="83"/>
      <c r="T711" s="83"/>
      <c r="U711" s="83"/>
      <c r="V711" s="83"/>
      <c r="W711" s="83"/>
      <c r="X711" s="83"/>
      <c r="Y711" s="83"/>
      <c r="Z711" s="83"/>
      <c r="AA711" s="83"/>
      <c r="AB711" s="83"/>
      <c r="AC711" s="83"/>
      <c r="AD711" s="83"/>
      <c r="AE711" s="83"/>
      <c r="AF711" s="83"/>
      <c r="AG711" s="83"/>
      <c r="AH711" s="83"/>
      <c r="AI711" s="83"/>
      <c r="AJ711" s="83"/>
      <c r="AK711" s="83"/>
      <c r="AL711" s="83"/>
      <c r="AM711" s="83"/>
      <c r="AN711" s="83"/>
      <c r="AO711" s="83"/>
      <c r="AP711" s="83"/>
      <c r="AQ711" s="112"/>
      <c r="AR711" s="47"/>
    </row>
    <row r="712" spans="2:44" ht="31.9" customHeight="1" thickBot="1">
      <c r="B712" s="210" t="s">
        <v>1306</v>
      </c>
      <c r="C712" s="573" t="s">
        <v>1339</v>
      </c>
      <c r="D712" s="573"/>
      <c r="E712" s="684" t="s">
        <v>69</v>
      </c>
      <c r="F712" s="684" t="s">
        <v>1344</v>
      </c>
      <c r="G712" s="574">
        <v>2025</v>
      </c>
      <c r="H712" s="574">
        <v>2030</v>
      </c>
      <c r="I712" s="226">
        <f>SUM(I713:I716)</f>
        <v>0</v>
      </c>
      <c r="J712" s="226">
        <f>SUM(J713:J716)</f>
        <v>0</v>
      </c>
      <c r="K712" s="197">
        <f>I712+J712</f>
        <v>0</v>
      </c>
      <c r="L712" s="197">
        <f>SUM(L713:L716)</f>
        <v>3271678</v>
      </c>
      <c r="M712" s="197">
        <f>SUM(M713:M716)</f>
        <v>0</v>
      </c>
      <c r="N712" s="197">
        <f>L712+M712</f>
        <v>3271678</v>
      </c>
      <c r="O712" s="197">
        <f>SUM(O713:O716)</f>
        <v>3271678</v>
      </c>
      <c r="P712" s="197">
        <f>SUM(P713:P716)</f>
        <v>0</v>
      </c>
      <c r="Q712" s="197">
        <f>O712+P712</f>
        <v>3271678</v>
      </c>
      <c r="R712" s="197">
        <f>SUM(R713:R716)</f>
        <v>3271678</v>
      </c>
      <c r="S712" s="197">
        <f>SUM(S713:S716)</f>
        <v>0</v>
      </c>
      <c r="T712" s="197">
        <f>R712+S712</f>
        <v>3271678</v>
      </c>
      <c r="U712" s="197">
        <f>SUM(U713:U716)</f>
        <v>3271678</v>
      </c>
      <c r="V712" s="197">
        <f>SUM(V713:V716)</f>
        <v>0</v>
      </c>
      <c r="W712" s="197">
        <f>U712+V712</f>
        <v>3271678</v>
      </c>
      <c r="X712" s="197">
        <f>SUM(X713:X716)</f>
        <v>3271678</v>
      </c>
      <c r="Y712" s="197">
        <f>SUM(Y713:Y716)</f>
        <v>0</v>
      </c>
      <c r="Z712" s="197">
        <f>SUM(Z713:Z716)</f>
        <v>3271678</v>
      </c>
      <c r="AA712" s="197">
        <f>SUM(AA713:AA716)</f>
        <v>3271678</v>
      </c>
      <c r="AB712" s="197">
        <f>SUM(AB713:AB716)</f>
        <v>0</v>
      </c>
      <c r="AC712" s="197">
        <f>SUM(AA712:AB712)</f>
        <v>3271678</v>
      </c>
      <c r="AD712" s="197">
        <f t="shared" ref="AD712:AD716" si="1532">I712+L712+O712+R712+U712+X712+AA712</f>
        <v>19630068</v>
      </c>
      <c r="AE712" s="197">
        <f t="shared" ref="AE712:AE716" si="1533">J712+M712+P712+S712+V712+Y712+AB712</f>
        <v>0</v>
      </c>
      <c r="AF712" s="197">
        <f>AD712+AE712</f>
        <v>19630068</v>
      </c>
      <c r="AG712" s="197">
        <f>SUM(AG713:AG716)</f>
        <v>4743356</v>
      </c>
      <c r="AH712" s="197">
        <f>SUM(AH713:AH716)</f>
        <v>0</v>
      </c>
      <c r="AI712" s="197">
        <f>AG712+AH712</f>
        <v>4743356</v>
      </c>
      <c r="AJ712" s="197">
        <f>SUM(AJ713:AJ716)</f>
        <v>0</v>
      </c>
      <c r="AK712" s="197">
        <f>SUM(AK713:AK716)</f>
        <v>0</v>
      </c>
      <c r="AL712" s="197"/>
      <c r="AM712" s="197">
        <f t="shared" ref="AM712:AM743" si="1534">AJ712+AK712</f>
        <v>0</v>
      </c>
      <c r="AN712" s="197">
        <f>SUM(AN713:AN716)</f>
        <v>13086712</v>
      </c>
      <c r="AO712" s="197">
        <f>SUM(AO713:AO716)</f>
        <v>0</v>
      </c>
      <c r="AP712" s="197">
        <f>AN712+AO712</f>
        <v>13086712</v>
      </c>
      <c r="AQ712" s="577">
        <f t="shared" ref="AQ712:AQ722" si="1535">SUM(AP712+AM712+AI712)-AF712</f>
        <v>-1800000</v>
      </c>
      <c r="AR712" s="47"/>
    </row>
    <row r="713" spans="2:44" ht="31.9" customHeight="1">
      <c r="B713" s="35" t="s">
        <v>1307</v>
      </c>
      <c r="C713" s="687" t="s">
        <v>1340</v>
      </c>
      <c r="D713" s="685"/>
      <c r="E713" s="662" t="s">
        <v>69</v>
      </c>
      <c r="F713" s="668" t="s">
        <v>1344</v>
      </c>
      <c r="G713" s="602">
        <v>2025</v>
      </c>
      <c r="H713" s="602">
        <v>2030</v>
      </c>
      <c r="I713" s="586">
        <v>0</v>
      </c>
      <c r="J713" s="586">
        <v>0</v>
      </c>
      <c r="K713" s="264">
        <f t="shared" ref="K713:K716" si="1536">SUM(I713:J713)</f>
        <v>0</v>
      </c>
      <c r="L713" s="83">
        <v>0</v>
      </c>
      <c r="M713" s="83">
        <v>0</v>
      </c>
      <c r="N713" s="264">
        <f t="shared" ref="N713:N716" si="1537">SUM(L713:M713)</f>
        <v>0</v>
      </c>
      <c r="O713" s="83">
        <v>0</v>
      </c>
      <c r="P713" s="83">
        <v>0</v>
      </c>
      <c r="Q713" s="264">
        <f t="shared" ref="Q713:Q716" si="1538">SUM(O713:P713)</f>
        <v>0</v>
      </c>
      <c r="R713" s="83">
        <v>0</v>
      </c>
      <c r="S713" s="83">
        <v>0</v>
      </c>
      <c r="T713" s="264">
        <f t="shared" ref="T713:T716" si="1539">SUM(R713:S713)</f>
        <v>0</v>
      </c>
      <c r="U713" s="83">
        <v>0</v>
      </c>
      <c r="V713" s="83">
        <v>0</v>
      </c>
      <c r="W713" s="264">
        <f t="shared" ref="W713:W716" si="1540">SUM(U713:V713)</f>
        <v>0</v>
      </c>
      <c r="X713" s="83">
        <v>0</v>
      </c>
      <c r="Y713" s="83">
        <v>0</v>
      </c>
      <c r="Z713" s="264">
        <f t="shared" ref="Z713:Z716" si="1541">SUM(X713:Y713)</f>
        <v>0</v>
      </c>
      <c r="AA713" s="83">
        <v>0</v>
      </c>
      <c r="AB713" s="83">
        <v>0</v>
      </c>
      <c r="AC713" s="264">
        <f t="shared" ref="AC713:AC716" si="1542">SUM(AA713:AB713)</f>
        <v>0</v>
      </c>
      <c r="AD713" s="83">
        <f t="shared" si="1532"/>
        <v>0</v>
      </c>
      <c r="AE713" s="83">
        <f t="shared" si="1533"/>
        <v>0</v>
      </c>
      <c r="AF713" s="264">
        <f t="shared" ref="AF713:AF716" si="1543">AD713+AE713</f>
        <v>0</v>
      </c>
      <c r="AG713" s="83">
        <v>0</v>
      </c>
      <c r="AH713" s="83">
        <v>0</v>
      </c>
      <c r="AI713" s="264">
        <f t="shared" ref="AI713:AI716" si="1544">SUM(AG713:AH713)</f>
        <v>0</v>
      </c>
      <c r="AJ713" s="83">
        <v>0</v>
      </c>
      <c r="AK713" s="83">
        <v>0</v>
      </c>
      <c r="AL713" s="83"/>
      <c r="AM713" s="264">
        <f t="shared" si="1534"/>
        <v>0</v>
      </c>
      <c r="AN713" s="83">
        <v>0</v>
      </c>
      <c r="AO713" s="83">
        <v>0</v>
      </c>
      <c r="AP713" s="264">
        <f t="shared" ref="AP713:AP716" si="1545">SUM(AN713:AO713)</f>
        <v>0</v>
      </c>
      <c r="AQ713" s="578">
        <f t="shared" si="1535"/>
        <v>0</v>
      </c>
      <c r="AR713" s="47"/>
    </row>
    <row r="714" spans="2:44" ht="31.9" customHeight="1">
      <c r="B714" s="35" t="s">
        <v>1308</v>
      </c>
      <c r="C714" s="688" t="s">
        <v>1341</v>
      </c>
      <c r="D714" s="685"/>
      <c r="E714" s="663" t="s">
        <v>69</v>
      </c>
      <c r="F714" s="669" t="s">
        <v>1344</v>
      </c>
      <c r="G714" s="602">
        <v>2025</v>
      </c>
      <c r="H714" s="602">
        <v>2030</v>
      </c>
      <c r="I714" s="586">
        <v>0</v>
      </c>
      <c r="J714" s="586">
        <v>0</v>
      </c>
      <c r="K714" s="264">
        <f t="shared" si="1536"/>
        <v>0</v>
      </c>
      <c r="L714" s="83">
        <v>1471678</v>
      </c>
      <c r="M714" s="83">
        <v>0</v>
      </c>
      <c r="N714" s="264">
        <f t="shared" si="1537"/>
        <v>1471678</v>
      </c>
      <c r="O714" s="83">
        <v>1471678</v>
      </c>
      <c r="P714" s="83">
        <v>0</v>
      </c>
      <c r="Q714" s="264">
        <f t="shared" si="1538"/>
        <v>1471678</v>
      </c>
      <c r="R714" s="83">
        <v>1471678</v>
      </c>
      <c r="S714" s="83">
        <v>0</v>
      </c>
      <c r="T714" s="264">
        <f t="shared" si="1539"/>
        <v>1471678</v>
      </c>
      <c r="U714" s="83">
        <v>1471678</v>
      </c>
      <c r="V714" s="83">
        <v>0</v>
      </c>
      <c r="W714" s="264">
        <f t="shared" si="1540"/>
        <v>1471678</v>
      </c>
      <c r="X714" s="83">
        <v>1471678</v>
      </c>
      <c r="Y714" s="83">
        <v>0</v>
      </c>
      <c r="Z714" s="264">
        <f t="shared" si="1541"/>
        <v>1471678</v>
      </c>
      <c r="AA714" s="83">
        <v>1471678</v>
      </c>
      <c r="AB714" s="83">
        <v>0</v>
      </c>
      <c r="AC714" s="264">
        <f t="shared" si="1542"/>
        <v>1471678</v>
      </c>
      <c r="AD714" s="83">
        <f t="shared" si="1532"/>
        <v>8830068</v>
      </c>
      <c r="AE714" s="83">
        <f t="shared" si="1533"/>
        <v>0</v>
      </c>
      <c r="AF714" s="264">
        <f t="shared" si="1543"/>
        <v>8830068</v>
      </c>
      <c r="AG714" s="83">
        <f>1471678*2</f>
        <v>2943356</v>
      </c>
      <c r="AH714" s="83">
        <v>0</v>
      </c>
      <c r="AI714" s="264">
        <f t="shared" si="1544"/>
        <v>2943356</v>
      </c>
      <c r="AJ714" s="83">
        <v>0</v>
      </c>
      <c r="AK714" s="83">
        <v>0</v>
      </c>
      <c r="AL714" s="83"/>
      <c r="AM714" s="264">
        <f t="shared" si="1534"/>
        <v>0</v>
      </c>
      <c r="AN714" s="83">
        <f>1471678*4</f>
        <v>5886712</v>
      </c>
      <c r="AO714" s="83">
        <v>0</v>
      </c>
      <c r="AP714" s="264">
        <f t="shared" si="1545"/>
        <v>5886712</v>
      </c>
      <c r="AQ714" s="578">
        <f t="shared" si="1535"/>
        <v>0</v>
      </c>
      <c r="AR714" s="47"/>
    </row>
    <row r="715" spans="2:44" ht="31.9" customHeight="1">
      <c r="B715" s="35" t="s">
        <v>1309</v>
      </c>
      <c r="C715" s="688" t="s">
        <v>1342</v>
      </c>
      <c r="D715" s="685"/>
      <c r="E715" s="663" t="s">
        <v>69</v>
      </c>
      <c r="F715" s="669" t="s">
        <v>1344</v>
      </c>
      <c r="G715" s="602">
        <v>2025</v>
      </c>
      <c r="H715" s="602">
        <v>2030</v>
      </c>
      <c r="I715" s="586">
        <v>0</v>
      </c>
      <c r="J715" s="586">
        <v>0</v>
      </c>
      <c r="K715" s="264">
        <f t="shared" si="1536"/>
        <v>0</v>
      </c>
      <c r="L715" s="83">
        <v>1800000</v>
      </c>
      <c r="M715" s="83">
        <v>0</v>
      </c>
      <c r="N715" s="264">
        <f t="shared" si="1537"/>
        <v>1800000</v>
      </c>
      <c r="O715" s="83">
        <v>1800000</v>
      </c>
      <c r="P715" s="83">
        <v>0</v>
      </c>
      <c r="Q715" s="264">
        <f t="shared" si="1538"/>
        <v>1800000</v>
      </c>
      <c r="R715" s="83">
        <v>1800000</v>
      </c>
      <c r="S715" s="83">
        <v>0</v>
      </c>
      <c r="T715" s="264">
        <f t="shared" si="1539"/>
        <v>1800000</v>
      </c>
      <c r="U715" s="83">
        <v>1800000</v>
      </c>
      <c r="V715" s="83">
        <v>0</v>
      </c>
      <c r="W715" s="264">
        <f t="shared" si="1540"/>
        <v>1800000</v>
      </c>
      <c r="X715" s="83">
        <v>1800000</v>
      </c>
      <c r="Y715" s="83">
        <v>0</v>
      </c>
      <c r="Z715" s="264">
        <f t="shared" si="1541"/>
        <v>1800000</v>
      </c>
      <c r="AA715" s="83">
        <v>1800000</v>
      </c>
      <c r="AB715" s="83">
        <v>0</v>
      </c>
      <c r="AC715" s="264">
        <f t="shared" si="1542"/>
        <v>1800000</v>
      </c>
      <c r="AD715" s="83">
        <f t="shared" si="1532"/>
        <v>10800000</v>
      </c>
      <c r="AE715" s="83">
        <f t="shared" si="1533"/>
        <v>0</v>
      </c>
      <c r="AF715" s="264">
        <f t="shared" si="1543"/>
        <v>10800000</v>
      </c>
      <c r="AG715" s="83">
        <f>1800000*1</f>
        <v>1800000</v>
      </c>
      <c r="AH715" s="83">
        <v>0</v>
      </c>
      <c r="AI715" s="264">
        <f t="shared" si="1544"/>
        <v>1800000</v>
      </c>
      <c r="AJ715" s="83">
        <v>0</v>
      </c>
      <c r="AK715" s="83">
        <v>0</v>
      </c>
      <c r="AL715" s="83"/>
      <c r="AM715" s="264">
        <f t="shared" si="1534"/>
        <v>0</v>
      </c>
      <c r="AN715" s="83">
        <f>1800000*4</f>
        <v>7200000</v>
      </c>
      <c r="AO715" s="83">
        <v>0</v>
      </c>
      <c r="AP715" s="264">
        <f t="shared" si="1545"/>
        <v>7200000</v>
      </c>
      <c r="AQ715" s="578">
        <f t="shared" si="1535"/>
        <v>-1800000</v>
      </c>
      <c r="AR715" s="47"/>
    </row>
    <row r="716" spans="2:44" ht="31.9" customHeight="1">
      <c r="B716" s="35" t="s">
        <v>1310</v>
      </c>
      <c r="C716" s="689" t="s">
        <v>1343</v>
      </c>
      <c r="D716" s="685"/>
      <c r="E716" s="680" t="s">
        <v>69</v>
      </c>
      <c r="F716" s="682" t="s">
        <v>1344</v>
      </c>
      <c r="G716" s="602">
        <v>2025</v>
      </c>
      <c r="H716" s="602">
        <v>2030</v>
      </c>
      <c r="I716" s="586">
        <v>0</v>
      </c>
      <c r="J716" s="586">
        <v>0</v>
      </c>
      <c r="K716" s="264">
        <f t="shared" si="1536"/>
        <v>0</v>
      </c>
      <c r="L716" s="83">
        <v>0</v>
      </c>
      <c r="M716" s="83">
        <v>0</v>
      </c>
      <c r="N716" s="264">
        <f t="shared" si="1537"/>
        <v>0</v>
      </c>
      <c r="O716" s="83">
        <v>0</v>
      </c>
      <c r="P716" s="83">
        <v>0</v>
      </c>
      <c r="Q716" s="264">
        <f t="shared" si="1538"/>
        <v>0</v>
      </c>
      <c r="R716" s="83">
        <v>0</v>
      </c>
      <c r="S716" s="83">
        <v>0</v>
      </c>
      <c r="T716" s="264">
        <f t="shared" si="1539"/>
        <v>0</v>
      </c>
      <c r="U716" s="83">
        <v>0</v>
      </c>
      <c r="V716" s="83">
        <v>0</v>
      </c>
      <c r="W716" s="264">
        <f t="shared" si="1540"/>
        <v>0</v>
      </c>
      <c r="X716" s="83">
        <v>0</v>
      </c>
      <c r="Y716" s="83">
        <v>0</v>
      </c>
      <c r="Z716" s="264">
        <f t="shared" si="1541"/>
        <v>0</v>
      </c>
      <c r="AA716" s="83">
        <v>0</v>
      </c>
      <c r="AB716" s="83">
        <v>0</v>
      </c>
      <c r="AC716" s="264">
        <f t="shared" si="1542"/>
        <v>0</v>
      </c>
      <c r="AD716" s="83">
        <f t="shared" si="1532"/>
        <v>0</v>
      </c>
      <c r="AE716" s="83">
        <f t="shared" si="1533"/>
        <v>0</v>
      </c>
      <c r="AF716" s="264">
        <f t="shared" si="1543"/>
        <v>0</v>
      </c>
      <c r="AG716" s="83">
        <v>0</v>
      </c>
      <c r="AH716" s="83">
        <v>0</v>
      </c>
      <c r="AI716" s="264">
        <f t="shared" si="1544"/>
        <v>0</v>
      </c>
      <c r="AJ716" s="83">
        <v>0</v>
      </c>
      <c r="AK716" s="83">
        <v>0</v>
      </c>
      <c r="AL716" s="83"/>
      <c r="AM716" s="264">
        <f t="shared" si="1534"/>
        <v>0</v>
      </c>
      <c r="AN716" s="83">
        <v>0</v>
      </c>
      <c r="AO716" s="83">
        <v>0</v>
      </c>
      <c r="AP716" s="264">
        <f t="shared" si="1545"/>
        <v>0</v>
      </c>
      <c r="AQ716" s="578">
        <f t="shared" si="1535"/>
        <v>0</v>
      </c>
      <c r="AR716" s="47"/>
    </row>
    <row r="717" spans="2:44" ht="83.45" customHeight="1" thickBot="1">
      <c r="B717" s="210" t="s">
        <v>1338</v>
      </c>
      <c r="C717" s="573" t="s">
        <v>1352</v>
      </c>
      <c r="D717" s="573"/>
      <c r="E717" s="684" t="s">
        <v>1350</v>
      </c>
      <c r="F717" s="756"/>
      <c r="G717" s="370">
        <v>2024</v>
      </c>
      <c r="H717" s="370">
        <v>2030</v>
      </c>
      <c r="I717" s="226">
        <f>SUM(I718:I722)</f>
        <v>3000000</v>
      </c>
      <c r="J717" s="226">
        <f>SUM(J718:J722)</f>
        <v>0</v>
      </c>
      <c r="K717" s="197">
        <f>I717+J717</f>
        <v>3000000</v>
      </c>
      <c r="L717" s="197">
        <f>SUM(L718:L722)</f>
        <v>3000000</v>
      </c>
      <c r="M717" s="197">
        <f>SUM(M718:M722)</f>
        <v>0</v>
      </c>
      <c r="N717" s="197">
        <f>L717+M717</f>
        <v>3000000</v>
      </c>
      <c r="O717" s="197">
        <f>SUM(O718:O722)</f>
        <v>3000000</v>
      </c>
      <c r="P717" s="197">
        <f>SUM(P718:P722)</f>
        <v>0</v>
      </c>
      <c r="Q717" s="197">
        <f>O717+P717</f>
        <v>3000000</v>
      </c>
      <c r="R717" s="197">
        <f>SUM(R718:R722)</f>
        <v>3000000</v>
      </c>
      <c r="S717" s="197">
        <f>SUM(S718:S722)</f>
        <v>0</v>
      </c>
      <c r="T717" s="197">
        <f>R717+S717</f>
        <v>3000000</v>
      </c>
      <c r="U717" s="197">
        <f>SUM(U718:U722)</f>
        <v>3000000</v>
      </c>
      <c r="V717" s="197">
        <f>SUM(V718:V722)</f>
        <v>0</v>
      </c>
      <c r="W717" s="197">
        <f>U717+V717</f>
        <v>3000000</v>
      </c>
      <c r="X717" s="197">
        <f>SUM(X718:X722)</f>
        <v>3000000</v>
      </c>
      <c r="Y717" s="197">
        <f>SUM(Y718:Y722)</f>
        <v>0</v>
      </c>
      <c r="Z717" s="197">
        <f>SUM(Z718:Z722)</f>
        <v>3000000</v>
      </c>
      <c r="AA717" s="197">
        <f>SUM(AA718:AA722)</f>
        <v>3000000</v>
      </c>
      <c r="AB717" s="197">
        <f>SUM(AB718:AB722)</f>
        <v>0</v>
      </c>
      <c r="AC717" s="197">
        <f>SUM(AA717:AB717)</f>
        <v>3000000</v>
      </c>
      <c r="AD717" s="197">
        <f t="shared" ref="AD717:AD722" si="1546">I717+L717+O717+R717+U717+X717+AA717</f>
        <v>21000000</v>
      </c>
      <c r="AE717" s="197">
        <f t="shared" ref="AE717:AE722" si="1547">J717+M717+P717+S717+V717+Y717+AB717</f>
        <v>0</v>
      </c>
      <c r="AF717" s="197">
        <f>AD717+AE717</f>
        <v>21000000</v>
      </c>
      <c r="AG717" s="197">
        <f>SUM(AG718:AG722)</f>
        <v>3000000</v>
      </c>
      <c r="AH717" s="197">
        <f>SUM(AH718:AH722)</f>
        <v>0</v>
      </c>
      <c r="AI717" s="197">
        <f>AG717+AH717</f>
        <v>3000000</v>
      </c>
      <c r="AJ717" s="197">
        <f>SUM(AJ718:AJ722)</f>
        <v>0</v>
      </c>
      <c r="AK717" s="197">
        <f>SUM(AK718:AK722)</f>
        <v>0</v>
      </c>
      <c r="AL717" s="197"/>
      <c r="AM717" s="197">
        <f t="shared" si="1534"/>
        <v>0</v>
      </c>
      <c r="AN717" s="197">
        <f>SUM(AN718:AN722)</f>
        <v>12000000</v>
      </c>
      <c r="AO717" s="197">
        <f>SUM(AO718:AO722)</f>
        <v>0</v>
      </c>
      <c r="AP717" s="197">
        <f>AN717+AO717</f>
        <v>12000000</v>
      </c>
      <c r="AQ717" s="577">
        <f t="shared" si="1535"/>
        <v>-6000000</v>
      </c>
      <c r="AR717" s="47"/>
    </row>
    <row r="718" spans="2:44" ht="52.15" customHeight="1">
      <c r="B718" s="35" t="s">
        <v>1333</v>
      </c>
      <c r="C718" s="691" t="s">
        <v>1345</v>
      </c>
      <c r="D718" s="685"/>
      <c r="E718" s="662" t="s">
        <v>1350</v>
      </c>
      <c r="F718" s="686"/>
      <c r="G718" s="602">
        <v>2024</v>
      </c>
      <c r="H718" s="602">
        <v>2030</v>
      </c>
      <c r="I718" s="586">
        <v>600000</v>
      </c>
      <c r="J718" s="586">
        <v>0</v>
      </c>
      <c r="K718" s="264">
        <f t="shared" ref="K718:K722" si="1548">SUM(I718:J718)</f>
        <v>600000</v>
      </c>
      <c r="L718" s="586">
        <v>600000</v>
      </c>
      <c r="M718" s="83">
        <v>0</v>
      </c>
      <c r="N718" s="264">
        <f t="shared" ref="N718:N722" si="1549">SUM(L718:M718)</f>
        <v>600000</v>
      </c>
      <c r="O718" s="586">
        <v>600000</v>
      </c>
      <c r="P718" s="83">
        <v>0</v>
      </c>
      <c r="Q718" s="264">
        <f t="shared" ref="Q718:Q722" si="1550">SUM(O718:P718)</f>
        <v>600000</v>
      </c>
      <c r="R718" s="586">
        <v>600000</v>
      </c>
      <c r="S718" s="83">
        <v>0</v>
      </c>
      <c r="T718" s="264">
        <f t="shared" ref="T718:T722" si="1551">SUM(R718:S718)</f>
        <v>600000</v>
      </c>
      <c r="U718" s="586">
        <v>600000</v>
      </c>
      <c r="V718" s="83">
        <v>0</v>
      </c>
      <c r="W718" s="264">
        <f t="shared" ref="W718:W722" si="1552">SUM(U718:V718)</f>
        <v>600000</v>
      </c>
      <c r="X718" s="586">
        <v>600000</v>
      </c>
      <c r="Y718" s="83">
        <v>0</v>
      </c>
      <c r="Z718" s="264">
        <f t="shared" ref="Z718:Z722" si="1553">SUM(X718:Y718)</f>
        <v>600000</v>
      </c>
      <c r="AA718" s="586">
        <v>600000</v>
      </c>
      <c r="AB718" s="83">
        <v>0</v>
      </c>
      <c r="AC718" s="264">
        <f t="shared" ref="AC718:AC722" si="1554">SUM(AA718:AB718)</f>
        <v>600000</v>
      </c>
      <c r="AD718" s="83">
        <f t="shared" si="1546"/>
        <v>4200000</v>
      </c>
      <c r="AE718" s="83">
        <f t="shared" si="1547"/>
        <v>0</v>
      </c>
      <c r="AF718" s="264">
        <f t="shared" ref="AF718:AF722" si="1555">AD718+AE718</f>
        <v>4200000</v>
      </c>
      <c r="AG718" s="83">
        <f>600000*1</f>
        <v>600000</v>
      </c>
      <c r="AH718" s="83">
        <v>0</v>
      </c>
      <c r="AI718" s="264">
        <f t="shared" ref="AI718:AI722" si="1556">SUM(AG718:AH718)</f>
        <v>600000</v>
      </c>
      <c r="AJ718" s="83">
        <v>0</v>
      </c>
      <c r="AK718" s="83">
        <v>0</v>
      </c>
      <c r="AL718" s="83"/>
      <c r="AM718" s="264">
        <f t="shared" si="1534"/>
        <v>0</v>
      </c>
      <c r="AN718" s="83">
        <f>600000*4</f>
        <v>2400000</v>
      </c>
      <c r="AO718" s="83">
        <v>0</v>
      </c>
      <c r="AP718" s="264">
        <f t="shared" ref="AP718:AP722" si="1557">SUM(AN718:AO718)</f>
        <v>2400000</v>
      </c>
      <c r="AQ718" s="578">
        <f t="shared" si="1535"/>
        <v>-1200000</v>
      </c>
      <c r="AR718" s="47"/>
    </row>
    <row r="719" spans="2:44" ht="31.9" customHeight="1">
      <c r="B719" s="35" t="s">
        <v>1334</v>
      </c>
      <c r="C719" s="666" t="s">
        <v>1346</v>
      </c>
      <c r="D719" s="685"/>
      <c r="E719" s="663" t="s">
        <v>1350</v>
      </c>
      <c r="F719" s="686"/>
      <c r="G719" s="602">
        <v>2024</v>
      </c>
      <c r="H719" s="602">
        <v>2030</v>
      </c>
      <c r="I719" s="586">
        <v>600000</v>
      </c>
      <c r="J719" s="586">
        <v>0</v>
      </c>
      <c r="K719" s="264">
        <f t="shared" si="1548"/>
        <v>600000</v>
      </c>
      <c r="L719" s="586">
        <v>600000</v>
      </c>
      <c r="M719" s="83">
        <v>0</v>
      </c>
      <c r="N719" s="264">
        <f t="shared" si="1549"/>
        <v>600000</v>
      </c>
      <c r="O719" s="586">
        <v>600000</v>
      </c>
      <c r="P719" s="83">
        <v>0</v>
      </c>
      <c r="Q719" s="264">
        <f t="shared" si="1550"/>
        <v>600000</v>
      </c>
      <c r="R719" s="586">
        <v>600000</v>
      </c>
      <c r="S719" s="83">
        <v>0</v>
      </c>
      <c r="T719" s="264">
        <f t="shared" si="1551"/>
        <v>600000</v>
      </c>
      <c r="U719" s="586">
        <v>600000</v>
      </c>
      <c r="V719" s="83">
        <v>0</v>
      </c>
      <c r="W719" s="264">
        <f t="shared" si="1552"/>
        <v>600000</v>
      </c>
      <c r="X719" s="586">
        <v>600000</v>
      </c>
      <c r="Y719" s="83">
        <v>0</v>
      </c>
      <c r="Z719" s="264">
        <f t="shared" si="1553"/>
        <v>600000</v>
      </c>
      <c r="AA719" s="586">
        <v>600000</v>
      </c>
      <c r="AB719" s="83">
        <v>0</v>
      </c>
      <c r="AC719" s="264">
        <f t="shared" si="1554"/>
        <v>600000</v>
      </c>
      <c r="AD719" s="83">
        <f t="shared" si="1546"/>
        <v>4200000</v>
      </c>
      <c r="AE719" s="83">
        <f t="shared" si="1547"/>
        <v>0</v>
      </c>
      <c r="AF719" s="264">
        <f t="shared" si="1555"/>
        <v>4200000</v>
      </c>
      <c r="AG719" s="83">
        <f t="shared" ref="AG719:AG720" si="1558">600000*1</f>
        <v>600000</v>
      </c>
      <c r="AH719" s="83">
        <v>0</v>
      </c>
      <c r="AI719" s="264">
        <f t="shared" si="1556"/>
        <v>600000</v>
      </c>
      <c r="AJ719" s="83">
        <v>0</v>
      </c>
      <c r="AK719" s="83">
        <v>0</v>
      </c>
      <c r="AL719" s="83"/>
      <c r="AM719" s="264">
        <f t="shared" si="1534"/>
        <v>0</v>
      </c>
      <c r="AN719" s="83">
        <f t="shared" ref="AN719:AN720" si="1559">600000*4</f>
        <v>2400000</v>
      </c>
      <c r="AO719" s="83"/>
      <c r="AP719" s="264">
        <f t="shared" si="1557"/>
        <v>2400000</v>
      </c>
      <c r="AQ719" s="578">
        <f t="shared" si="1535"/>
        <v>-1200000</v>
      </c>
      <c r="AR719" s="47"/>
    </row>
    <row r="720" spans="2:44" ht="31.9" customHeight="1">
      <c r="B720" s="35" t="s">
        <v>1335</v>
      </c>
      <c r="C720" s="666" t="s">
        <v>1347</v>
      </c>
      <c r="D720" s="685"/>
      <c r="E720" s="663" t="s">
        <v>1350</v>
      </c>
      <c r="F720" s="686"/>
      <c r="G720" s="602">
        <v>2024</v>
      </c>
      <c r="H720" s="602">
        <v>2030</v>
      </c>
      <c r="I720" s="586">
        <v>600000</v>
      </c>
      <c r="J720" s="586">
        <v>0</v>
      </c>
      <c r="K720" s="264">
        <f t="shared" si="1548"/>
        <v>600000</v>
      </c>
      <c r="L720" s="586">
        <v>600000</v>
      </c>
      <c r="M720" s="83">
        <v>0</v>
      </c>
      <c r="N720" s="264">
        <f t="shared" si="1549"/>
        <v>600000</v>
      </c>
      <c r="O720" s="586">
        <v>600000</v>
      </c>
      <c r="P720" s="83">
        <v>0</v>
      </c>
      <c r="Q720" s="264">
        <f t="shared" si="1550"/>
        <v>600000</v>
      </c>
      <c r="R720" s="586">
        <v>600000</v>
      </c>
      <c r="S720" s="83">
        <v>0</v>
      </c>
      <c r="T720" s="264">
        <f t="shared" si="1551"/>
        <v>600000</v>
      </c>
      <c r="U720" s="586">
        <v>600000</v>
      </c>
      <c r="V720" s="83">
        <v>0</v>
      </c>
      <c r="W720" s="264">
        <f t="shared" si="1552"/>
        <v>600000</v>
      </c>
      <c r="X720" s="586">
        <v>600000</v>
      </c>
      <c r="Y720" s="83">
        <v>0</v>
      </c>
      <c r="Z720" s="264">
        <f t="shared" si="1553"/>
        <v>600000</v>
      </c>
      <c r="AA720" s="586">
        <v>600000</v>
      </c>
      <c r="AB720" s="83">
        <v>0</v>
      </c>
      <c r="AC720" s="264">
        <f t="shared" si="1554"/>
        <v>600000</v>
      </c>
      <c r="AD720" s="83">
        <f t="shared" si="1546"/>
        <v>4200000</v>
      </c>
      <c r="AE720" s="83">
        <f t="shared" si="1547"/>
        <v>0</v>
      </c>
      <c r="AF720" s="264">
        <f t="shared" si="1555"/>
        <v>4200000</v>
      </c>
      <c r="AG720" s="83">
        <f t="shared" si="1558"/>
        <v>600000</v>
      </c>
      <c r="AH720" s="83">
        <v>0</v>
      </c>
      <c r="AI720" s="264">
        <f t="shared" si="1556"/>
        <v>600000</v>
      </c>
      <c r="AJ720" s="83">
        <v>0</v>
      </c>
      <c r="AK720" s="83">
        <v>0</v>
      </c>
      <c r="AL720" s="83"/>
      <c r="AM720" s="264">
        <f t="shared" si="1534"/>
        <v>0</v>
      </c>
      <c r="AN720" s="83">
        <f t="shared" si="1559"/>
        <v>2400000</v>
      </c>
      <c r="AO720" s="83"/>
      <c r="AP720" s="264">
        <f t="shared" si="1557"/>
        <v>2400000</v>
      </c>
      <c r="AQ720" s="578">
        <f t="shared" si="1535"/>
        <v>-1200000</v>
      </c>
      <c r="AR720" s="47"/>
    </row>
    <row r="721" spans="2:44" ht="31.9" customHeight="1">
      <c r="B721" s="35" t="s">
        <v>1336</v>
      </c>
      <c r="C721" s="666" t="s">
        <v>1348</v>
      </c>
      <c r="D721" s="685"/>
      <c r="E721" s="663" t="s">
        <v>1350</v>
      </c>
      <c r="F721" s="686"/>
      <c r="G721" s="602">
        <v>2024</v>
      </c>
      <c r="H721" s="602">
        <v>2030</v>
      </c>
      <c r="I721" s="586">
        <v>1200000</v>
      </c>
      <c r="J721" s="586">
        <v>0</v>
      </c>
      <c r="K721" s="264">
        <f t="shared" si="1548"/>
        <v>1200000</v>
      </c>
      <c r="L721" s="83">
        <v>1200000</v>
      </c>
      <c r="M721" s="83">
        <v>0</v>
      </c>
      <c r="N721" s="264">
        <f t="shared" si="1549"/>
        <v>1200000</v>
      </c>
      <c r="O721" s="83">
        <v>1200000</v>
      </c>
      <c r="P721" s="83">
        <v>0</v>
      </c>
      <c r="Q721" s="264">
        <f t="shared" si="1550"/>
        <v>1200000</v>
      </c>
      <c r="R721" s="83">
        <v>1200000</v>
      </c>
      <c r="S721" s="83">
        <v>0</v>
      </c>
      <c r="T721" s="264">
        <f t="shared" si="1551"/>
        <v>1200000</v>
      </c>
      <c r="U721" s="83">
        <v>1200000</v>
      </c>
      <c r="V721" s="83">
        <v>0</v>
      </c>
      <c r="W721" s="264">
        <f t="shared" si="1552"/>
        <v>1200000</v>
      </c>
      <c r="X721" s="83">
        <v>1200000</v>
      </c>
      <c r="Y721" s="83">
        <v>0</v>
      </c>
      <c r="Z721" s="264">
        <f t="shared" si="1553"/>
        <v>1200000</v>
      </c>
      <c r="AA721" s="83">
        <v>1200000</v>
      </c>
      <c r="AB721" s="83">
        <v>0</v>
      </c>
      <c r="AC721" s="264">
        <f t="shared" si="1554"/>
        <v>1200000</v>
      </c>
      <c r="AD721" s="83">
        <f t="shared" si="1546"/>
        <v>8400000</v>
      </c>
      <c r="AE721" s="83">
        <f t="shared" si="1547"/>
        <v>0</v>
      </c>
      <c r="AF721" s="264">
        <f t="shared" si="1555"/>
        <v>8400000</v>
      </c>
      <c r="AG721" s="83">
        <f>1200000*1</f>
        <v>1200000</v>
      </c>
      <c r="AH721" s="83">
        <v>0</v>
      </c>
      <c r="AI721" s="264">
        <f t="shared" si="1556"/>
        <v>1200000</v>
      </c>
      <c r="AJ721" s="83">
        <v>0</v>
      </c>
      <c r="AK721" s="83">
        <v>0</v>
      </c>
      <c r="AL721" s="83"/>
      <c r="AM721" s="264">
        <f t="shared" si="1534"/>
        <v>0</v>
      </c>
      <c r="AN721" s="83">
        <f>1200000*4</f>
        <v>4800000</v>
      </c>
      <c r="AO721" s="83"/>
      <c r="AP721" s="264">
        <f t="shared" si="1557"/>
        <v>4800000</v>
      </c>
      <c r="AQ721" s="578">
        <f t="shared" si="1535"/>
        <v>-2400000</v>
      </c>
      <c r="AR721" s="47"/>
    </row>
    <row r="722" spans="2:44" ht="31.9" customHeight="1">
      <c r="B722" s="35" t="s">
        <v>1337</v>
      </c>
      <c r="C722" s="681" t="s">
        <v>1349</v>
      </c>
      <c r="D722" s="685"/>
      <c r="E722" s="680" t="s">
        <v>1350</v>
      </c>
      <c r="F722" s="686"/>
      <c r="G722" s="602">
        <v>2024</v>
      </c>
      <c r="H722" s="602">
        <v>2030</v>
      </c>
      <c r="I722" s="586">
        <v>0</v>
      </c>
      <c r="J722" s="586">
        <v>0</v>
      </c>
      <c r="K722" s="264">
        <f t="shared" si="1548"/>
        <v>0</v>
      </c>
      <c r="L722" s="83">
        <v>0</v>
      </c>
      <c r="M722" s="83">
        <v>0</v>
      </c>
      <c r="N722" s="264">
        <f t="shared" si="1549"/>
        <v>0</v>
      </c>
      <c r="O722" s="83">
        <v>0</v>
      </c>
      <c r="P722" s="83">
        <v>0</v>
      </c>
      <c r="Q722" s="264">
        <f t="shared" si="1550"/>
        <v>0</v>
      </c>
      <c r="R722" s="83">
        <v>0</v>
      </c>
      <c r="S722" s="83">
        <v>0</v>
      </c>
      <c r="T722" s="264">
        <f t="shared" si="1551"/>
        <v>0</v>
      </c>
      <c r="U722" s="83">
        <v>0</v>
      </c>
      <c r="V722" s="83">
        <v>0</v>
      </c>
      <c r="W722" s="264">
        <f t="shared" si="1552"/>
        <v>0</v>
      </c>
      <c r="X722" s="83">
        <v>0</v>
      </c>
      <c r="Y722" s="83">
        <v>0</v>
      </c>
      <c r="Z722" s="264">
        <f t="shared" si="1553"/>
        <v>0</v>
      </c>
      <c r="AA722" s="83">
        <v>0</v>
      </c>
      <c r="AB722" s="83">
        <v>0</v>
      </c>
      <c r="AC722" s="264">
        <f t="shared" si="1554"/>
        <v>0</v>
      </c>
      <c r="AD722" s="83">
        <f t="shared" si="1546"/>
        <v>0</v>
      </c>
      <c r="AE722" s="83">
        <f t="shared" si="1547"/>
        <v>0</v>
      </c>
      <c r="AF722" s="264">
        <f t="shared" si="1555"/>
        <v>0</v>
      </c>
      <c r="AG722" s="83">
        <v>0</v>
      </c>
      <c r="AH722" s="83">
        <v>0</v>
      </c>
      <c r="AI722" s="264">
        <f t="shared" si="1556"/>
        <v>0</v>
      </c>
      <c r="AJ722" s="83">
        <v>0</v>
      </c>
      <c r="AK722" s="83">
        <v>0</v>
      </c>
      <c r="AL722" s="83"/>
      <c r="AM722" s="264">
        <f t="shared" si="1534"/>
        <v>0</v>
      </c>
      <c r="AN722" s="83">
        <v>0</v>
      </c>
      <c r="AO722" s="83">
        <v>0</v>
      </c>
      <c r="AP722" s="264">
        <f t="shared" si="1557"/>
        <v>0</v>
      </c>
      <c r="AQ722" s="578">
        <f t="shared" si="1535"/>
        <v>0</v>
      </c>
      <c r="AR722" s="47"/>
    </row>
    <row r="723" spans="2:44" ht="59.45" customHeight="1" thickBot="1">
      <c r="B723" s="210" t="s">
        <v>1329</v>
      </c>
      <c r="C723" s="573" t="s">
        <v>1351</v>
      </c>
      <c r="D723" s="573"/>
      <c r="E723" s="684" t="s">
        <v>69</v>
      </c>
      <c r="F723" s="684" t="s">
        <v>1358</v>
      </c>
      <c r="G723" s="574">
        <v>2025</v>
      </c>
      <c r="H723" s="574">
        <v>2030</v>
      </c>
      <c r="I723" s="226">
        <f>SUM(I724:I726)</f>
        <v>0</v>
      </c>
      <c r="J723" s="226">
        <f>SUM(J724:J726)</f>
        <v>0</v>
      </c>
      <c r="K723" s="197">
        <f>I723+J723</f>
        <v>0</v>
      </c>
      <c r="L723" s="197">
        <f>SUM(L724:L726)</f>
        <v>2520000</v>
      </c>
      <c r="M723" s="197">
        <f>SUM(M724:M726)</f>
        <v>0</v>
      </c>
      <c r="N723" s="197">
        <f>L723+M723</f>
        <v>2520000</v>
      </c>
      <c r="O723" s="197">
        <f>SUM(O724:O726)</f>
        <v>2520000</v>
      </c>
      <c r="P723" s="197">
        <f>SUM(P724:P726)</f>
        <v>0</v>
      </c>
      <c r="Q723" s="197">
        <f>O723+P723</f>
        <v>2520000</v>
      </c>
      <c r="R723" s="197">
        <f>SUM(R724:R726)</f>
        <v>2520000</v>
      </c>
      <c r="S723" s="197">
        <f>SUM(S724:S726)</f>
        <v>0</v>
      </c>
      <c r="T723" s="197">
        <f>R723+S723</f>
        <v>2520000</v>
      </c>
      <c r="U723" s="197">
        <f>SUM(U724:U726)</f>
        <v>120000</v>
      </c>
      <c r="V723" s="197">
        <f>SUM(V724:V726)</f>
        <v>0</v>
      </c>
      <c r="W723" s="197">
        <f>U723+V723</f>
        <v>120000</v>
      </c>
      <c r="X723" s="197">
        <f>SUM(X724:X726)</f>
        <v>120000</v>
      </c>
      <c r="Y723" s="197">
        <f>SUM(Y724:Y726)</f>
        <v>0</v>
      </c>
      <c r="Z723" s="197">
        <f>SUM(Z724:Z726)</f>
        <v>120000</v>
      </c>
      <c r="AA723" s="197">
        <f>SUM(AA724:AA726)</f>
        <v>120000</v>
      </c>
      <c r="AB723" s="197">
        <f>SUM(AB724:AB726)</f>
        <v>0</v>
      </c>
      <c r="AC723" s="197">
        <f>SUM(AA723:AB723)</f>
        <v>120000</v>
      </c>
      <c r="AD723" s="197">
        <f t="shared" ref="AD723:AD726" si="1560">I723+L723+O723+R723+U723+X723+AA723</f>
        <v>7920000</v>
      </c>
      <c r="AE723" s="197">
        <f t="shared" ref="AE723:AE726" si="1561">J723+M723+P723+S723+V723+Y723+AB723</f>
        <v>0</v>
      </c>
      <c r="AF723" s="197">
        <f>AD723+AE723</f>
        <v>7920000</v>
      </c>
      <c r="AG723" s="197">
        <f>SUM(AG724:AG726)</f>
        <v>360000</v>
      </c>
      <c r="AH723" s="197">
        <f>SUM(AH724:AH726)</f>
        <v>0</v>
      </c>
      <c r="AI723" s="197">
        <f>AG723+AH723</f>
        <v>360000</v>
      </c>
      <c r="AJ723" s="197">
        <f>SUM(AJ724:AJ726)</f>
        <v>0</v>
      </c>
      <c r="AK723" s="197">
        <f>SUM(AK724:AK726)</f>
        <v>0</v>
      </c>
      <c r="AL723" s="197"/>
      <c r="AM723" s="197">
        <f t="shared" si="1534"/>
        <v>0</v>
      </c>
      <c r="AN723" s="197">
        <f>SUM(AN724:AN726)</f>
        <v>480000</v>
      </c>
      <c r="AO723" s="197">
        <f>SUM(AO724:AO726)</f>
        <v>0</v>
      </c>
      <c r="AP723" s="197">
        <f>AN723+AO723</f>
        <v>480000</v>
      </c>
      <c r="AQ723" s="683">
        <f t="shared" ref="AQ723:AQ743" si="1562">SUM(AP723+AM723+AI723)-AF723</f>
        <v>-7080000</v>
      </c>
      <c r="AR723" s="47"/>
    </row>
    <row r="724" spans="2:44" ht="31.9" customHeight="1">
      <c r="B724" s="35" t="s">
        <v>1330</v>
      </c>
      <c r="C724" s="665" t="s">
        <v>1353</v>
      </c>
      <c r="D724" s="685"/>
      <c r="E724" s="662" t="s">
        <v>69</v>
      </c>
      <c r="F724" s="668" t="s">
        <v>1613</v>
      </c>
      <c r="G724" s="602">
        <v>2025</v>
      </c>
      <c r="H724" s="602">
        <v>2030</v>
      </c>
      <c r="I724" s="586">
        <v>0</v>
      </c>
      <c r="J724" s="586">
        <v>0</v>
      </c>
      <c r="K724" s="264">
        <f t="shared" ref="K724:K726" si="1563">SUM(I724:J724)</f>
        <v>0</v>
      </c>
      <c r="L724" s="83">
        <v>120000</v>
      </c>
      <c r="M724" s="83">
        <v>0</v>
      </c>
      <c r="N724" s="264">
        <f t="shared" ref="N724:N726" si="1564">SUM(L724:M724)</f>
        <v>120000</v>
      </c>
      <c r="O724" s="83">
        <v>120000</v>
      </c>
      <c r="P724" s="83">
        <v>0</v>
      </c>
      <c r="Q724" s="264">
        <f t="shared" ref="Q724:Q726" si="1565">SUM(O724:P724)</f>
        <v>120000</v>
      </c>
      <c r="R724" s="83">
        <v>120000</v>
      </c>
      <c r="S724" s="83">
        <v>0</v>
      </c>
      <c r="T724" s="264">
        <f t="shared" ref="T724:T726" si="1566">SUM(R724:S724)</f>
        <v>120000</v>
      </c>
      <c r="U724" s="83">
        <v>120000</v>
      </c>
      <c r="V724" s="83">
        <v>0</v>
      </c>
      <c r="W724" s="264">
        <f t="shared" ref="W724:W726" si="1567">SUM(U724:V724)</f>
        <v>120000</v>
      </c>
      <c r="X724" s="83">
        <v>120000</v>
      </c>
      <c r="Y724" s="83">
        <v>0</v>
      </c>
      <c r="Z724" s="264">
        <f t="shared" ref="Z724:Z726" si="1568">SUM(X724:Y724)</f>
        <v>120000</v>
      </c>
      <c r="AA724" s="83">
        <v>120000</v>
      </c>
      <c r="AB724" s="83">
        <v>0</v>
      </c>
      <c r="AC724" s="264">
        <f t="shared" ref="AC724:AC726" si="1569">SUM(AA724:AB724)</f>
        <v>120000</v>
      </c>
      <c r="AD724" s="83">
        <f t="shared" si="1560"/>
        <v>720000</v>
      </c>
      <c r="AE724" s="83">
        <f t="shared" si="1561"/>
        <v>0</v>
      </c>
      <c r="AF724" s="264">
        <f t="shared" ref="AF724:AF726" si="1570">AD724+AE724</f>
        <v>720000</v>
      </c>
      <c r="AG724" s="83">
        <f>120000*3</f>
        <v>360000</v>
      </c>
      <c r="AH724" s="83">
        <v>0</v>
      </c>
      <c r="AI724" s="264">
        <f t="shared" ref="AI724:AI726" si="1571">SUM(AG724:AH724)</f>
        <v>360000</v>
      </c>
      <c r="AJ724" s="83">
        <v>0</v>
      </c>
      <c r="AK724" s="83">
        <v>0</v>
      </c>
      <c r="AL724" s="83"/>
      <c r="AM724" s="264">
        <f t="shared" si="1534"/>
        <v>0</v>
      </c>
      <c r="AN724" s="83">
        <f>120000*4</f>
        <v>480000</v>
      </c>
      <c r="AO724" s="83">
        <v>0</v>
      </c>
      <c r="AP724" s="264">
        <f t="shared" ref="AP724:AP726" si="1572">SUM(AN724:AO724)</f>
        <v>480000</v>
      </c>
      <c r="AQ724" s="578">
        <f t="shared" si="1562"/>
        <v>120000</v>
      </c>
      <c r="AR724" s="47"/>
    </row>
    <row r="725" spans="2:44" ht="31.9" customHeight="1">
      <c r="B725" s="35" t="s">
        <v>1331</v>
      </c>
      <c r="C725" s="666" t="s">
        <v>1354</v>
      </c>
      <c r="D725" s="685"/>
      <c r="E725" s="663" t="s">
        <v>370</v>
      </c>
      <c r="F725" s="669" t="s">
        <v>1612</v>
      </c>
      <c r="G725" s="602">
        <v>2025</v>
      </c>
      <c r="H725" s="602">
        <v>2030</v>
      </c>
      <c r="I725" s="586">
        <v>0</v>
      </c>
      <c r="J725" s="586">
        <v>0</v>
      </c>
      <c r="K725" s="264">
        <f t="shared" si="1563"/>
        <v>0</v>
      </c>
      <c r="L725" s="83">
        <v>0</v>
      </c>
      <c r="M725" s="83">
        <v>0</v>
      </c>
      <c r="N725" s="264">
        <f t="shared" si="1564"/>
        <v>0</v>
      </c>
      <c r="O725" s="83">
        <v>0</v>
      </c>
      <c r="P725" s="83">
        <v>0</v>
      </c>
      <c r="Q725" s="264">
        <f t="shared" si="1565"/>
        <v>0</v>
      </c>
      <c r="R725" s="83">
        <v>0</v>
      </c>
      <c r="S725" s="83">
        <v>0</v>
      </c>
      <c r="T725" s="264">
        <f t="shared" si="1566"/>
        <v>0</v>
      </c>
      <c r="U725" s="83">
        <v>0</v>
      </c>
      <c r="V725" s="83">
        <v>0</v>
      </c>
      <c r="W725" s="264">
        <f t="shared" si="1567"/>
        <v>0</v>
      </c>
      <c r="X725" s="83">
        <v>0</v>
      </c>
      <c r="Y725" s="83">
        <v>0</v>
      </c>
      <c r="Z725" s="264">
        <f t="shared" si="1568"/>
        <v>0</v>
      </c>
      <c r="AA725" s="83">
        <v>0</v>
      </c>
      <c r="AB725" s="83">
        <v>0</v>
      </c>
      <c r="AC725" s="264">
        <f t="shared" si="1569"/>
        <v>0</v>
      </c>
      <c r="AD725" s="83">
        <f t="shared" si="1560"/>
        <v>0</v>
      </c>
      <c r="AE725" s="83">
        <f t="shared" si="1561"/>
        <v>0</v>
      </c>
      <c r="AF725" s="264">
        <f t="shared" si="1570"/>
        <v>0</v>
      </c>
      <c r="AG725" s="83">
        <v>0</v>
      </c>
      <c r="AH725" s="83">
        <v>0</v>
      </c>
      <c r="AI725" s="264">
        <f t="shared" si="1571"/>
        <v>0</v>
      </c>
      <c r="AJ725" s="83">
        <v>0</v>
      </c>
      <c r="AK725" s="83">
        <v>0</v>
      </c>
      <c r="AL725" s="83"/>
      <c r="AM725" s="264">
        <f t="shared" si="1534"/>
        <v>0</v>
      </c>
      <c r="AN725" s="83">
        <v>0</v>
      </c>
      <c r="AO725" s="83">
        <v>0</v>
      </c>
      <c r="AP725" s="264">
        <f t="shared" si="1572"/>
        <v>0</v>
      </c>
      <c r="AQ725" s="578"/>
      <c r="AR725" s="47"/>
    </row>
    <row r="726" spans="2:44" ht="59.45" customHeight="1">
      <c r="B726" s="35" t="s">
        <v>1332</v>
      </c>
      <c r="C726" s="681" t="s">
        <v>1355</v>
      </c>
      <c r="D726" s="685"/>
      <c r="E726" s="680" t="s">
        <v>1356</v>
      </c>
      <c r="F726" s="682" t="s">
        <v>1357</v>
      </c>
      <c r="G726" s="602">
        <v>2025</v>
      </c>
      <c r="H726" s="602">
        <v>2030</v>
      </c>
      <c r="I726" s="586">
        <v>0</v>
      </c>
      <c r="J726" s="586">
        <v>0</v>
      </c>
      <c r="K726" s="264">
        <f t="shared" si="1563"/>
        <v>0</v>
      </c>
      <c r="L726" s="83">
        <v>2400000</v>
      </c>
      <c r="M726" s="83">
        <v>0</v>
      </c>
      <c r="N726" s="264">
        <f t="shared" si="1564"/>
        <v>2400000</v>
      </c>
      <c r="O726" s="83">
        <v>2400000</v>
      </c>
      <c r="P726" s="83">
        <v>0</v>
      </c>
      <c r="Q726" s="264">
        <f t="shared" si="1565"/>
        <v>2400000</v>
      </c>
      <c r="R726" s="83">
        <v>2400000</v>
      </c>
      <c r="S726" s="83">
        <v>0</v>
      </c>
      <c r="T726" s="264">
        <f t="shared" si="1566"/>
        <v>2400000</v>
      </c>
      <c r="U726" s="83"/>
      <c r="V726" s="83"/>
      <c r="W726" s="264">
        <f t="shared" si="1567"/>
        <v>0</v>
      </c>
      <c r="X726" s="83"/>
      <c r="Y726" s="83"/>
      <c r="Z726" s="264">
        <f t="shared" si="1568"/>
        <v>0</v>
      </c>
      <c r="AA726" s="83"/>
      <c r="AB726" s="83"/>
      <c r="AC726" s="264">
        <f t="shared" si="1569"/>
        <v>0</v>
      </c>
      <c r="AD726" s="83">
        <f t="shared" si="1560"/>
        <v>7200000</v>
      </c>
      <c r="AE726" s="83">
        <f t="shared" si="1561"/>
        <v>0</v>
      </c>
      <c r="AF726" s="264">
        <f t="shared" si="1570"/>
        <v>7200000</v>
      </c>
      <c r="AG726" s="83"/>
      <c r="AH726" s="83"/>
      <c r="AI726" s="264">
        <f t="shared" si="1571"/>
        <v>0</v>
      </c>
      <c r="AJ726" s="83">
        <v>0</v>
      </c>
      <c r="AK726" s="83">
        <v>0</v>
      </c>
      <c r="AL726" s="83"/>
      <c r="AM726" s="264">
        <f t="shared" si="1534"/>
        <v>0</v>
      </c>
      <c r="AN726" s="83"/>
      <c r="AO726" s="83"/>
      <c r="AP726" s="264">
        <f t="shared" si="1572"/>
        <v>0</v>
      </c>
      <c r="AQ726" s="578">
        <f t="shared" si="1562"/>
        <v>-7200000</v>
      </c>
      <c r="AR726" s="47"/>
    </row>
    <row r="727" spans="2:44" ht="87" customHeight="1">
      <c r="B727" s="210" t="s">
        <v>1325</v>
      </c>
      <c r="C727" s="287" t="s">
        <v>1359</v>
      </c>
      <c r="D727" s="571"/>
      <c r="E727" s="633" t="s">
        <v>1364</v>
      </c>
      <c r="F727" s="633" t="s">
        <v>1363</v>
      </c>
      <c r="G727" s="570">
        <v>2024</v>
      </c>
      <c r="H727" s="570">
        <v>2030</v>
      </c>
      <c r="I727" s="197">
        <f>SUM(I728:I730)</f>
        <v>360000</v>
      </c>
      <c r="J727" s="226">
        <f>SUM(J728:J730)</f>
        <v>0</v>
      </c>
      <c r="K727" s="197">
        <f>I727+J727</f>
        <v>360000</v>
      </c>
      <c r="L727" s="197">
        <f>SUM(L728:L730)</f>
        <v>360000</v>
      </c>
      <c r="M727" s="197">
        <f>SUM(M728:M730)</f>
        <v>0</v>
      </c>
      <c r="N727" s="197">
        <f>L727+M727</f>
        <v>360000</v>
      </c>
      <c r="O727" s="197">
        <f>SUM(O728:O730)</f>
        <v>360000</v>
      </c>
      <c r="P727" s="197">
        <f>SUM(P728:P730)</f>
        <v>0</v>
      </c>
      <c r="Q727" s="197">
        <f>O727+P727</f>
        <v>360000</v>
      </c>
      <c r="R727" s="197">
        <f>SUM(R728:R730)</f>
        <v>360000</v>
      </c>
      <c r="S727" s="197">
        <f>SUM(S728:S730)</f>
        <v>0</v>
      </c>
      <c r="T727" s="197">
        <f>R727+S727</f>
        <v>360000</v>
      </c>
      <c r="U727" s="197">
        <f>SUM(U728:U730)</f>
        <v>360000</v>
      </c>
      <c r="V727" s="197">
        <f>SUM(V728:V730)</f>
        <v>0</v>
      </c>
      <c r="W727" s="197">
        <f>U727+V727</f>
        <v>360000</v>
      </c>
      <c r="X727" s="197">
        <f>SUM(X728:X730)</f>
        <v>360000</v>
      </c>
      <c r="Y727" s="197">
        <f>SUM(Y728:Y730)</f>
        <v>0</v>
      </c>
      <c r="Z727" s="197">
        <f>SUM(X727:Y727)</f>
        <v>360000</v>
      </c>
      <c r="AA727" s="197">
        <f>SUM(AA728:AA730)</f>
        <v>360000</v>
      </c>
      <c r="AB727" s="197">
        <f>SUM(AB728:AB730)</f>
        <v>0</v>
      </c>
      <c r="AC727" s="197">
        <f>SUM(AA727:AB727)</f>
        <v>360000</v>
      </c>
      <c r="AD727" s="197">
        <f t="shared" ref="AD727:AD730" si="1573">I727+L727+O727+R727+U727+X727+AA727</f>
        <v>2520000</v>
      </c>
      <c r="AE727" s="197">
        <f t="shared" ref="AE727:AE730" si="1574">J727+M727+P727+S727+V727+Y727+AB727</f>
        <v>0</v>
      </c>
      <c r="AF727" s="197">
        <f>AD727+AE727</f>
        <v>2520000</v>
      </c>
      <c r="AG727" s="197">
        <f>SUM(AG728:AG730)</f>
        <v>720000</v>
      </c>
      <c r="AH727" s="197">
        <f>SUM(AH728:AH730)</f>
        <v>0</v>
      </c>
      <c r="AI727" s="197">
        <f>AG727+AH727</f>
        <v>720000</v>
      </c>
      <c r="AJ727" s="197">
        <f>SUM(AJ728:AJ730)</f>
        <v>0</v>
      </c>
      <c r="AK727" s="197">
        <f>SUM(AK728:AK730)</f>
        <v>0</v>
      </c>
      <c r="AL727" s="197"/>
      <c r="AM727" s="197">
        <f t="shared" si="1534"/>
        <v>0</v>
      </c>
      <c r="AN727" s="197">
        <f>SUM(AN728:AN730)</f>
        <v>1440000</v>
      </c>
      <c r="AO727" s="197">
        <f>SUM(AO728:AO730)</f>
        <v>0</v>
      </c>
      <c r="AP727" s="197">
        <f>AN727+AO727</f>
        <v>1440000</v>
      </c>
      <c r="AQ727" s="577">
        <f t="shared" si="1562"/>
        <v>-360000</v>
      </c>
      <c r="AR727" s="47"/>
    </row>
    <row r="728" spans="2:44" ht="54.6" customHeight="1">
      <c r="B728" s="35" t="s">
        <v>1326</v>
      </c>
      <c r="C728" s="666" t="s">
        <v>1360</v>
      </c>
      <c r="D728" s="572"/>
      <c r="E728" s="663" t="s">
        <v>69</v>
      </c>
      <c r="F728" s="663" t="s">
        <v>1363</v>
      </c>
      <c r="G728" s="406">
        <v>2024</v>
      </c>
      <c r="H728" s="406">
        <v>2030</v>
      </c>
      <c r="I728" s="83">
        <v>240000</v>
      </c>
      <c r="J728" s="586">
        <v>0</v>
      </c>
      <c r="K728" s="264">
        <f t="shared" ref="K728:K730" si="1575">SUM(I728:J728)</f>
        <v>240000</v>
      </c>
      <c r="L728" s="83">
        <v>240000</v>
      </c>
      <c r="M728" s="83">
        <v>0</v>
      </c>
      <c r="N728" s="264">
        <f t="shared" ref="N728:N730" si="1576">SUM(L728:M728)</f>
        <v>240000</v>
      </c>
      <c r="O728" s="83">
        <v>240000</v>
      </c>
      <c r="P728" s="83">
        <v>0</v>
      </c>
      <c r="Q728" s="264">
        <f t="shared" ref="Q728:Q730" si="1577">SUM(O728:P728)</f>
        <v>240000</v>
      </c>
      <c r="R728" s="83">
        <v>240000</v>
      </c>
      <c r="S728" s="83">
        <v>0</v>
      </c>
      <c r="T728" s="264">
        <f t="shared" ref="T728:T730" si="1578">SUM(R728:S728)</f>
        <v>240000</v>
      </c>
      <c r="U728" s="83">
        <v>240000</v>
      </c>
      <c r="V728" s="83">
        <v>0</v>
      </c>
      <c r="W728" s="264">
        <f t="shared" ref="W728:W730" si="1579">SUM(U728:V728)</f>
        <v>240000</v>
      </c>
      <c r="X728" s="83">
        <v>240000</v>
      </c>
      <c r="Y728" s="83">
        <v>0</v>
      </c>
      <c r="Z728" s="264">
        <f t="shared" ref="Z728:Z730" si="1580">SUM(X728:Y728)</f>
        <v>240000</v>
      </c>
      <c r="AA728" s="83">
        <v>240000</v>
      </c>
      <c r="AB728" s="83">
        <v>0</v>
      </c>
      <c r="AC728" s="264">
        <f t="shared" ref="AC728:AC730" si="1581">SUM(AA728:AB728)</f>
        <v>240000</v>
      </c>
      <c r="AD728" s="83">
        <f t="shared" si="1573"/>
        <v>1680000</v>
      </c>
      <c r="AE728" s="83">
        <f t="shared" si="1574"/>
        <v>0</v>
      </c>
      <c r="AF728" s="264">
        <f t="shared" ref="AF728:AF730" si="1582">AD728+AE728</f>
        <v>1680000</v>
      </c>
      <c r="AG728" s="83">
        <f>240000*2</f>
        <v>480000</v>
      </c>
      <c r="AH728" s="83">
        <v>0</v>
      </c>
      <c r="AI728" s="264">
        <f t="shared" ref="AI728:AI730" si="1583">SUM(AG728:AH728)</f>
        <v>480000</v>
      </c>
      <c r="AJ728" s="83">
        <v>0</v>
      </c>
      <c r="AK728" s="83">
        <v>0</v>
      </c>
      <c r="AL728" s="83"/>
      <c r="AM728" s="264">
        <f t="shared" si="1534"/>
        <v>0</v>
      </c>
      <c r="AN728" s="83">
        <f>240000*4</f>
        <v>960000</v>
      </c>
      <c r="AO728" s="83">
        <v>0</v>
      </c>
      <c r="AP728" s="264">
        <f t="shared" ref="AP728:AP730" si="1584">SUM(AN728:AO728)</f>
        <v>960000</v>
      </c>
      <c r="AQ728" s="578">
        <f t="shared" si="1562"/>
        <v>-240000</v>
      </c>
      <c r="AR728" s="47"/>
    </row>
    <row r="729" spans="2:44" ht="58.15" customHeight="1">
      <c r="B729" s="35" t="s">
        <v>1327</v>
      </c>
      <c r="C729" s="666" t="s">
        <v>1361</v>
      </c>
      <c r="D729" s="572"/>
      <c r="E729" s="663" t="s">
        <v>1364</v>
      </c>
      <c r="F729" s="663" t="s">
        <v>1365</v>
      </c>
      <c r="G729" s="406">
        <v>2024</v>
      </c>
      <c r="H729" s="406">
        <v>2030</v>
      </c>
      <c r="I729" s="83">
        <v>0</v>
      </c>
      <c r="J729" s="586">
        <v>0</v>
      </c>
      <c r="K729" s="264">
        <f t="shared" si="1575"/>
        <v>0</v>
      </c>
      <c r="L729" s="83">
        <v>0</v>
      </c>
      <c r="M729" s="83">
        <v>0</v>
      </c>
      <c r="N729" s="264">
        <f t="shared" si="1576"/>
        <v>0</v>
      </c>
      <c r="O729" s="83">
        <v>0</v>
      </c>
      <c r="P729" s="83">
        <v>0</v>
      </c>
      <c r="Q729" s="264">
        <f t="shared" si="1577"/>
        <v>0</v>
      </c>
      <c r="R729" s="83">
        <v>0</v>
      </c>
      <c r="S729" s="83">
        <v>0</v>
      </c>
      <c r="T729" s="264">
        <f t="shared" si="1578"/>
        <v>0</v>
      </c>
      <c r="U729" s="83">
        <v>0</v>
      </c>
      <c r="V729" s="83">
        <v>0</v>
      </c>
      <c r="W729" s="264">
        <f t="shared" si="1579"/>
        <v>0</v>
      </c>
      <c r="X729" s="83">
        <v>0</v>
      </c>
      <c r="Y729" s="83">
        <v>0</v>
      </c>
      <c r="Z729" s="264">
        <f t="shared" si="1580"/>
        <v>0</v>
      </c>
      <c r="AA729" s="83">
        <v>0</v>
      </c>
      <c r="AB729" s="83">
        <v>0</v>
      </c>
      <c r="AC729" s="264">
        <f t="shared" si="1581"/>
        <v>0</v>
      </c>
      <c r="AD729" s="83">
        <f t="shared" si="1573"/>
        <v>0</v>
      </c>
      <c r="AE729" s="83">
        <f t="shared" si="1574"/>
        <v>0</v>
      </c>
      <c r="AF729" s="264">
        <f t="shared" si="1582"/>
        <v>0</v>
      </c>
      <c r="AG729" s="83">
        <v>0</v>
      </c>
      <c r="AH729" s="83">
        <v>0</v>
      </c>
      <c r="AI729" s="264">
        <f t="shared" si="1583"/>
        <v>0</v>
      </c>
      <c r="AJ729" s="83">
        <v>0</v>
      </c>
      <c r="AK729" s="83">
        <v>0</v>
      </c>
      <c r="AL729" s="83"/>
      <c r="AM729" s="264">
        <f t="shared" si="1534"/>
        <v>0</v>
      </c>
      <c r="AN729" s="83">
        <v>0</v>
      </c>
      <c r="AO729" s="83">
        <v>0</v>
      </c>
      <c r="AP729" s="264">
        <f t="shared" si="1584"/>
        <v>0</v>
      </c>
      <c r="AQ729" s="578">
        <f t="shared" si="1562"/>
        <v>0</v>
      </c>
      <c r="AR729" s="47"/>
    </row>
    <row r="730" spans="2:44" ht="31.9" customHeight="1">
      <c r="B730" s="35" t="s">
        <v>1328</v>
      </c>
      <c r="C730" s="666" t="s">
        <v>1362</v>
      </c>
      <c r="D730" s="572"/>
      <c r="E730" s="663" t="s">
        <v>612</v>
      </c>
      <c r="F730" s="663" t="s">
        <v>1365</v>
      </c>
      <c r="G730" s="406">
        <v>2024</v>
      </c>
      <c r="H730" s="406">
        <v>2030</v>
      </c>
      <c r="I730" s="83">
        <v>120000</v>
      </c>
      <c r="J730" s="586"/>
      <c r="K730" s="264">
        <f t="shared" si="1575"/>
        <v>120000</v>
      </c>
      <c r="L730" s="83">
        <v>120000</v>
      </c>
      <c r="M730" s="83"/>
      <c r="N730" s="264">
        <f t="shared" si="1576"/>
        <v>120000</v>
      </c>
      <c r="O730" s="83">
        <v>120000</v>
      </c>
      <c r="P730" s="83">
        <v>0</v>
      </c>
      <c r="Q730" s="264">
        <f t="shared" si="1577"/>
        <v>120000</v>
      </c>
      <c r="R730" s="83">
        <v>120000</v>
      </c>
      <c r="S730" s="83"/>
      <c r="T730" s="264">
        <f t="shared" si="1578"/>
        <v>120000</v>
      </c>
      <c r="U730" s="83">
        <v>120000</v>
      </c>
      <c r="V730" s="83"/>
      <c r="W730" s="264">
        <f t="shared" si="1579"/>
        <v>120000</v>
      </c>
      <c r="X730" s="83">
        <v>120000</v>
      </c>
      <c r="Y730" s="83"/>
      <c r="Z730" s="264">
        <f t="shared" si="1580"/>
        <v>120000</v>
      </c>
      <c r="AA730" s="83">
        <v>120000</v>
      </c>
      <c r="AB730" s="83">
        <v>0</v>
      </c>
      <c r="AC730" s="264">
        <f t="shared" si="1581"/>
        <v>120000</v>
      </c>
      <c r="AD730" s="83">
        <f t="shared" si="1573"/>
        <v>840000</v>
      </c>
      <c r="AE730" s="83">
        <f t="shared" si="1574"/>
        <v>0</v>
      </c>
      <c r="AF730" s="264">
        <f t="shared" si="1582"/>
        <v>840000</v>
      </c>
      <c r="AG730" s="83">
        <f>120000*2</f>
        <v>240000</v>
      </c>
      <c r="AH730" s="83"/>
      <c r="AI730" s="264">
        <f t="shared" si="1583"/>
        <v>240000</v>
      </c>
      <c r="AJ730" s="83">
        <v>0</v>
      </c>
      <c r="AK730" s="83">
        <v>0</v>
      </c>
      <c r="AL730" s="83"/>
      <c r="AM730" s="264">
        <f t="shared" si="1534"/>
        <v>0</v>
      </c>
      <c r="AN730" s="83">
        <f>120000*4</f>
        <v>480000</v>
      </c>
      <c r="AO730" s="83"/>
      <c r="AP730" s="264">
        <f t="shared" si="1584"/>
        <v>480000</v>
      </c>
      <c r="AQ730" s="578">
        <f t="shared" si="1562"/>
        <v>-120000</v>
      </c>
      <c r="AR730" s="47"/>
    </row>
    <row r="731" spans="2:44" ht="31.9" customHeight="1">
      <c r="B731" s="210" t="s">
        <v>1316</v>
      </c>
      <c r="C731" s="287" t="s">
        <v>1366</v>
      </c>
      <c r="D731" s="571"/>
      <c r="E731" s="633" t="s">
        <v>1368</v>
      </c>
      <c r="F731" s="633" t="s">
        <v>1367</v>
      </c>
      <c r="G731" s="570">
        <v>2025</v>
      </c>
      <c r="H731" s="570">
        <v>2030</v>
      </c>
      <c r="I731" s="197">
        <f>SUM(I732:I735)</f>
        <v>0</v>
      </c>
      <c r="J731" s="226">
        <f>SUM(J732:J735)</f>
        <v>0</v>
      </c>
      <c r="K731" s="197">
        <f>I731+J731</f>
        <v>0</v>
      </c>
      <c r="L731" s="197">
        <f>SUM(L732:L735)</f>
        <v>390000</v>
      </c>
      <c r="M731" s="197">
        <f>SUM(M732:M735)</f>
        <v>0</v>
      </c>
      <c r="N731" s="197">
        <f>L731+M731</f>
        <v>390000</v>
      </c>
      <c r="O731" s="197">
        <f>SUM(O732:O735)</f>
        <v>390000</v>
      </c>
      <c r="P731" s="197">
        <f>SUM(P732:P735)</f>
        <v>0</v>
      </c>
      <c r="Q731" s="197">
        <f>O731+P731</f>
        <v>390000</v>
      </c>
      <c r="R731" s="197">
        <f>SUM(R732:R735)</f>
        <v>390000</v>
      </c>
      <c r="S731" s="197">
        <f>SUM(S732:S735)</f>
        <v>0</v>
      </c>
      <c r="T731" s="197">
        <f>R731+S731</f>
        <v>390000</v>
      </c>
      <c r="U731" s="197">
        <f>SUM(U732:U735)</f>
        <v>390000</v>
      </c>
      <c r="V731" s="197">
        <f>SUM(V732:V735)</f>
        <v>0</v>
      </c>
      <c r="W731" s="197">
        <f>U731+V731</f>
        <v>390000</v>
      </c>
      <c r="X731" s="197">
        <f>SUM(X732:X735)</f>
        <v>390000</v>
      </c>
      <c r="Y731" s="197">
        <f>SUM(Y732:Y735)</f>
        <v>0</v>
      </c>
      <c r="Z731" s="197">
        <f>SUM(X731:Y731)</f>
        <v>390000</v>
      </c>
      <c r="AA731" s="197">
        <f>SUM(AA732:AA735)</f>
        <v>390000</v>
      </c>
      <c r="AB731" s="197">
        <f>SUM(AB732:AB735)</f>
        <v>0</v>
      </c>
      <c r="AC731" s="197">
        <f>SUM(AA731:AB731)</f>
        <v>390000</v>
      </c>
      <c r="AD731" s="197">
        <f t="shared" ref="AD731:AD739" si="1585">I731+L731+O731+R731+U731+X731+AA731</f>
        <v>2340000</v>
      </c>
      <c r="AE731" s="197">
        <f>SUM(AE732:AE735)</f>
        <v>0</v>
      </c>
      <c r="AF731" s="197">
        <f>AD731+AE731</f>
        <v>2340000</v>
      </c>
      <c r="AG731" s="197">
        <f>SUM(AG732:AG735)</f>
        <v>780000</v>
      </c>
      <c r="AH731" s="197">
        <f>SUM(AH732:AH735)</f>
        <v>0</v>
      </c>
      <c r="AI731" s="197">
        <f>AG731+AH731</f>
        <v>780000</v>
      </c>
      <c r="AJ731" s="197">
        <f>SUM(AJ732:AJ735)</f>
        <v>0</v>
      </c>
      <c r="AK731" s="197">
        <f>SUM(AK732:AK735)</f>
        <v>0</v>
      </c>
      <c r="AL731" s="197"/>
      <c r="AM731" s="197">
        <f t="shared" si="1534"/>
        <v>0</v>
      </c>
      <c r="AN731" s="197">
        <f>SUM(AN732:AN735)</f>
        <v>1560000</v>
      </c>
      <c r="AO731" s="197">
        <f>SUM(AO732:AO735)</f>
        <v>0</v>
      </c>
      <c r="AP731" s="197">
        <f>AN731+AO731</f>
        <v>1560000</v>
      </c>
      <c r="AQ731" s="577">
        <f t="shared" si="1562"/>
        <v>0</v>
      </c>
      <c r="AR731" s="47"/>
    </row>
    <row r="732" spans="2:44" ht="31.9" customHeight="1">
      <c r="B732" s="35" t="s">
        <v>1312</v>
      </c>
      <c r="C732" s="666" t="s">
        <v>1370</v>
      </c>
      <c r="D732" s="572"/>
      <c r="E732" s="663" t="s">
        <v>69</v>
      </c>
      <c r="F732" s="663" t="s">
        <v>1367</v>
      </c>
      <c r="G732" s="406">
        <v>2025</v>
      </c>
      <c r="H732" s="406">
        <v>2030</v>
      </c>
      <c r="I732" s="83">
        <v>0</v>
      </c>
      <c r="J732" s="586">
        <v>0</v>
      </c>
      <c r="K732" s="264">
        <f t="shared" ref="K732:K734" si="1586">I732+J732</f>
        <v>0</v>
      </c>
      <c r="L732" s="83">
        <v>120000</v>
      </c>
      <c r="M732" s="83">
        <v>0</v>
      </c>
      <c r="N732" s="264">
        <f t="shared" ref="N732:N734" si="1587">L732+M732</f>
        <v>120000</v>
      </c>
      <c r="O732" s="83">
        <v>120000</v>
      </c>
      <c r="P732" s="83">
        <v>0</v>
      </c>
      <c r="Q732" s="264">
        <f t="shared" ref="Q732:Q735" si="1588">O732+P732</f>
        <v>120000</v>
      </c>
      <c r="R732" s="83">
        <v>120000</v>
      </c>
      <c r="S732" s="83">
        <v>0</v>
      </c>
      <c r="T732" s="264">
        <f t="shared" ref="T732:T734" si="1589">R732+S732</f>
        <v>120000</v>
      </c>
      <c r="U732" s="83">
        <v>120000</v>
      </c>
      <c r="V732" s="83">
        <v>0</v>
      </c>
      <c r="W732" s="264">
        <f t="shared" ref="W732:W734" si="1590">U732+V732</f>
        <v>120000</v>
      </c>
      <c r="X732" s="83">
        <v>120000</v>
      </c>
      <c r="Y732" s="83">
        <v>0</v>
      </c>
      <c r="Z732" s="264">
        <f t="shared" ref="Z732:Z735" si="1591">SUM(X732:Y732)</f>
        <v>120000</v>
      </c>
      <c r="AA732" s="83">
        <v>120000</v>
      </c>
      <c r="AB732" s="83">
        <v>0</v>
      </c>
      <c r="AC732" s="264">
        <f t="shared" ref="AC732:AC734" si="1592">SUM(AA732:AB732)</f>
        <v>120000</v>
      </c>
      <c r="AD732" s="197">
        <f t="shared" si="1585"/>
        <v>720000</v>
      </c>
      <c r="AE732" s="83">
        <v>0</v>
      </c>
      <c r="AF732" s="264">
        <f t="shared" ref="AF732:AF735" si="1593">AD732+AE732</f>
        <v>720000</v>
      </c>
      <c r="AG732" s="83">
        <f>120000*2</f>
        <v>240000</v>
      </c>
      <c r="AH732" s="83">
        <v>0</v>
      </c>
      <c r="AI732" s="264">
        <f t="shared" ref="AI732:AI734" si="1594">AG732+AH732</f>
        <v>240000</v>
      </c>
      <c r="AJ732" s="83">
        <v>0</v>
      </c>
      <c r="AK732" s="83">
        <v>0</v>
      </c>
      <c r="AL732" s="83"/>
      <c r="AM732" s="264">
        <f t="shared" si="1534"/>
        <v>0</v>
      </c>
      <c r="AN732" s="83">
        <f>120000*4</f>
        <v>480000</v>
      </c>
      <c r="AO732" s="83">
        <v>0</v>
      </c>
      <c r="AP732" s="264">
        <f t="shared" ref="AP732:AP734" si="1595">AN732+AO732</f>
        <v>480000</v>
      </c>
      <c r="AQ732" s="578">
        <f t="shared" si="1562"/>
        <v>0</v>
      </c>
      <c r="AR732" s="47"/>
    </row>
    <row r="733" spans="2:44" ht="31.9" customHeight="1">
      <c r="B733" s="35" t="s">
        <v>1313</v>
      </c>
      <c r="C733" s="666" t="s">
        <v>1371</v>
      </c>
      <c r="D733" s="572"/>
      <c r="E733" s="663" t="s">
        <v>69</v>
      </c>
      <c r="F733" s="663" t="s">
        <v>1367</v>
      </c>
      <c r="G733" s="406">
        <v>2025</v>
      </c>
      <c r="H733" s="406">
        <v>2030</v>
      </c>
      <c r="I733" s="83">
        <v>0</v>
      </c>
      <c r="J733" s="586">
        <v>0</v>
      </c>
      <c r="K733" s="264">
        <f t="shared" si="1586"/>
        <v>0</v>
      </c>
      <c r="L733" s="83">
        <v>120000</v>
      </c>
      <c r="M733" s="83">
        <v>0</v>
      </c>
      <c r="N733" s="264">
        <f t="shared" si="1587"/>
        <v>120000</v>
      </c>
      <c r="O733" s="83">
        <v>120000</v>
      </c>
      <c r="P733" s="83">
        <v>0</v>
      </c>
      <c r="Q733" s="264">
        <f t="shared" si="1588"/>
        <v>120000</v>
      </c>
      <c r="R733" s="83">
        <v>120000</v>
      </c>
      <c r="S733" s="83">
        <v>0</v>
      </c>
      <c r="T733" s="264">
        <f t="shared" si="1589"/>
        <v>120000</v>
      </c>
      <c r="U733" s="83">
        <v>120000</v>
      </c>
      <c r="V733" s="83">
        <v>0</v>
      </c>
      <c r="W733" s="264">
        <f t="shared" si="1590"/>
        <v>120000</v>
      </c>
      <c r="X733" s="83">
        <v>120000</v>
      </c>
      <c r="Y733" s="83">
        <v>0</v>
      </c>
      <c r="Z733" s="264">
        <f t="shared" si="1591"/>
        <v>120000</v>
      </c>
      <c r="AA733" s="83">
        <v>120000</v>
      </c>
      <c r="AB733" s="83">
        <v>0</v>
      </c>
      <c r="AC733" s="264">
        <f t="shared" si="1592"/>
        <v>120000</v>
      </c>
      <c r="AD733" s="197">
        <f t="shared" si="1585"/>
        <v>720000</v>
      </c>
      <c r="AE733" s="83">
        <v>0</v>
      </c>
      <c r="AF733" s="264">
        <f t="shared" si="1593"/>
        <v>720000</v>
      </c>
      <c r="AG733" s="83">
        <f>120000*2</f>
        <v>240000</v>
      </c>
      <c r="AH733" s="83">
        <v>0</v>
      </c>
      <c r="AI733" s="264">
        <f t="shared" si="1594"/>
        <v>240000</v>
      </c>
      <c r="AJ733" s="83">
        <v>0</v>
      </c>
      <c r="AK733" s="83">
        <v>0</v>
      </c>
      <c r="AL733" s="83"/>
      <c r="AM733" s="264">
        <f t="shared" si="1534"/>
        <v>0</v>
      </c>
      <c r="AN733" s="83">
        <f>120000*4</f>
        <v>480000</v>
      </c>
      <c r="AO733" s="83">
        <v>0</v>
      </c>
      <c r="AP733" s="264">
        <f t="shared" si="1595"/>
        <v>480000</v>
      </c>
      <c r="AQ733" s="578">
        <f t="shared" si="1562"/>
        <v>0</v>
      </c>
      <c r="AR733" s="47"/>
    </row>
    <row r="734" spans="2:44" ht="31.9" customHeight="1">
      <c r="B734" s="35" t="s">
        <v>1314</v>
      </c>
      <c r="C734" s="666" t="s">
        <v>1372</v>
      </c>
      <c r="D734" s="572"/>
      <c r="E734" s="663" t="s">
        <v>1018</v>
      </c>
      <c r="F734" s="663"/>
      <c r="G734" s="406">
        <v>2025</v>
      </c>
      <c r="H734" s="406">
        <v>2030</v>
      </c>
      <c r="I734" s="83">
        <v>0</v>
      </c>
      <c r="J734" s="586">
        <v>0</v>
      </c>
      <c r="K734" s="264">
        <f t="shared" si="1586"/>
        <v>0</v>
      </c>
      <c r="L734" s="83">
        <v>150000</v>
      </c>
      <c r="M734" s="83">
        <v>0</v>
      </c>
      <c r="N734" s="264">
        <f t="shared" si="1587"/>
        <v>150000</v>
      </c>
      <c r="O734" s="83">
        <v>150000</v>
      </c>
      <c r="P734" s="83">
        <v>0</v>
      </c>
      <c r="Q734" s="264">
        <f t="shared" si="1588"/>
        <v>150000</v>
      </c>
      <c r="R734" s="83">
        <v>150000</v>
      </c>
      <c r="S734" s="83">
        <v>0</v>
      </c>
      <c r="T734" s="264">
        <f t="shared" si="1589"/>
        <v>150000</v>
      </c>
      <c r="U734" s="83">
        <v>150000</v>
      </c>
      <c r="V734" s="83">
        <v>0</v>
      </c>
      <c r="W734" s="264">
        <f t="shared" si="1590"/>
        <v>150000</v>
      </c>
      <c r="X734" s="83">
        <v>150000</v>
      </c>
      <c r="Y734" s="83">
        <v>0</v>
      </c>
      <c r="Z734" s="264">
        <f t="shared" si="1591"/>
        <v>150000</v>
      </c>
      <c r="AA734" s="83">
        <v>150000</v>
      </c>
      <c r="AB734" s="83">
        <v>0</v>
      </c>
      <c r="AC734" s="264">
        <f t="shared" si="1592"/>
        <v>150000</v>
      </c>
      <c r="AD734" s="197">
        <f t="shared" si="1585"/>
        <v>900000</v>
      </c>
      <c r="AE734" s="83">
        <v>0</v>
      </c>
      <c r="AF734" s="264">
        <f t="shared" si="1593"/>
        <v>900000</v>
      </c>
      <c r="AG734" s="83">
        <f>150000*2</f>
        <v>300000</v>
      </c>
      <c r="AH734" s="83">
        <v>0</v>
      </c>
      <c r="AI734" s="264">
        <f t="shared" si="1594"/>
        <v>300000</v>
      </c>
      <c r="AJ734" s="83">
        <v>0</v>
      </c>
      <c r="AK734" s="83">
        <v>0</v>
      </c>
      <c r="AL734" s="83"/>
      <c r="AM734" s="264">
        <f t="shared" si="1534"/>
        <v>0</v>
      </c>
      <c r="AN734" s="83">
        <f>150000*4</f>
        <v>600000</v>
      </c>
      <c r="AO734" s="83">
        <v>0</v>
      </c>
      <c r="AP734" s="264">
        <f t="shared" si="1595"/>
        <v>600000</v>
      </c>
      <c r="AQ734" s="578">
        <f t="shared" si="1562"/>
        <v>0</v>
      </c>
      <c r="AR734" s="47"/>
    </row>
    <row r="735" spans="2:44" ht="31.9" customHeight="1">
      <c r="B735" s="35" t="s">
        <v>1315</v>
      </c>
      <c r="C735" s="757" t="s">
        <v>1373</v>
      </c>
      <c r="D735" s="572"/>
      <c r="E735" s="663" t="s">
        <v>1368</v>
      </c>
      <c r="F735" s="663" t="s">
        <v>1369</v>
      </c>
      <c r="G735" s="406">
        <v>2025</v>
      </c>
      <c r="H735" s="406">
        <v>2030</v>
      </c>
      <c r="I735" s="83">
        <v>0</v>
      </c>
      <c r="J735" s="586">
        <v>0</v>
      </c>
      <c r="K735" s="264">
        <f t="shared" ref="K735" si="1596">SUM(I735:J735)</f>
        <v>0</v>
      </c>
      <c r="L735" s="83">
        <v>0</v>
      </c>
      <c r="M735" s="83">
        <v>0</v>
      </c>
      <c r="N735" s="264">
        <f t="shared" ref="N735" si="1597">SUM(L735:M735)</f>
        <v>0</v>
      </c>
      <c r="O735" s="83">
        <v>0</v>
      </c>
      <c r="P735" s="83">
        <v>0</v>
      </c>
      <c r="Q735" s="264">
        <f t="shared" si="1588"/>
        <v>0</v>
      </c>
      <c r="R735" s="83">
        <v>0</v>
      </c>
      <c r="S735" s="83">
        <v>0</v>
      </c>
      <c r="T735" s="264">
        <f t="shared" ref="T735" si="1598">SUM(R735:S735)</f>
        <v>0</v>
      </c>
      <c r="U735" s="83">
        <v>0</v>
      </c>
      <c r="V735" s="83">
        <v>0</v>
      </c>
      <c r="W735" s="264">
        <f t="shared" ref="W735" si="1599">SUM(U735:V735)</f>
        <v>0</v>
      </c>
      <c r="X735" s="83">
        <v>0</v>
      </c>
      <c r="Y735" s="83">
        <v>0</v>
      </c>
      <c r="Z735" s="264">
        <f t="shared" si="1591"/>
        <v>0</v>
      </c>
      <c r="AA735" s="83">
        <v>0</v>
      </c>
      <c r="AB735" s="83">
        <v>0</v>
      </c>
      <c r="AC735" s="264">
        <f t="shared" ref="AC735" si="1600">SUM(AA735:AB735)</f>
        <v>0</v>
      </c>
      <c r="AD735" s="197">
        <f t="shared" si="1585"/>
        <v>0</v>
      </c>
      <c r="AE735" s="83">
        <f t="shared" ref="AE735:AE737" si="1601">J735+M735+P735+S735+V735+Y735+AB735</f>
        <v>0</v>
      </c>
      <c r="AF735" s="264">
        <f t="shared" si="1593"/>
        <v>0</v>
      </c>
      <c r="AG735" s="83">
        <v>0</v>
      </c>
      <c r="AH735" s="83">
        <v>0</v>
      </c>
      <c r="AI735" s="264">
        <f t="shared" ref="AI735" si="1602">SUM(AG735:AH735)</f>
        <v>0</v>
      </c>
      <c r="AJ735" s="83">
        <v>0</v>
      </c>
      <c r="AK735" s="83">
        <v>0</v>
      </c>
      <c r="AL735" s="83"/>
      <c r="AM735" s="264">
        <f t="shared" si="1534"/>
        <v>0</v>
      </c>
      <c r="AN735" s="83">
        <v>0</v>
      </c>
      <c r="AO735" s="83">
        <v>0</v>
      </c>
      <c r="AP735" s="264">
        <f t="shared" ref="AP735" si="1603">SUM(AN735:AO735)</f>
        <v>0</v>
      </c>
      <c r="AQ735" s="578">
        <f t="shared" si="1562"/>
        <v>0</v>
      </c>
      <c r="AR735" s="47"/>
    </row>
    <row r="736" spans="2:44" ht="31.9" customHeight="1">
      <c r="B736" s="210" t="s">
        <v>1321</v>
      </c>
      <c r="C736" s="571" t="s">
        <v>1374</v>
      </c>
      <c r="D736" s="571"/>
      <c r="E736" s="633" t="s">
        <v>1102</v>
      </c>
      <c r="F736" s="633" t="s">
        <v>69</v>
      </c>
      <c r="G736" s="570">
        <v>2025</v>
      </c>
      <c r="H736" s="570">
        <v>2030</v>
      </c>
      <c r="I736" s="197">
        <f>SUM(I737:I739)</f>
        <v>0</v>
      </c>
      <c r="J736" s="226">
        <f>SUM(J737:J739)</f>
        <v>0</v>
      </c>
      <c r="K736" s="197">
        <f>I736+J736</f>
        <v>0</v>
      </c>
      <c r="L736" s="197">
        <f>SUM(L737:L739)</f>
        <v>2700000</v>
      </c>
      <c r="M736" s="197">
        <f>SUM(M737:M739)</f>
        <v>0</v>
      </c>
      <c r="N736" s="197">
        <f>L736+M736</f>
        <v>2700000</v>
      </c>
      <c r="O736" s="197">
        <f>SUM(O737:O739)</f>
        <v>2700000</v>
      </c>
      <c r="P736" s="197">
        <f>SUM(P737:P739)</f>
        <v>0</v>
      </c>
      <c r="Q736" s="197">
        <f>O736+P736</f>
        <v>2700000</v>
      </c>
      <c r="R736" s="197">
        <f>SUM(R737:R739)</f>
        <v>2700000</v>
      </c>
      <c r="S736" s="197">
        <f>SUM(S737:S739)</f>
        <v>0</v>
      </c>
      <c r="T736" s="197">
        <f>R736+S736</f>
        <v>2700000</v>
      </c>
      <c r="U736" s="197">
        <f>SUM(U737:U739)</f>
        <v>2700000</v>
      </c>
      <c r="V736" s="197">
        <f>SUM(V737:V739)</f>
        <v>0</v>
      </c>
      <c r="W736" s="197">
        <f>U736+V736</f>
        <v>2700000</v>
      </c>
      <c r="X736" s="197">
        <f>SUM(X737:X739)</f>
        <v>2700000</v>
      </c>
      <c r="Y736" s="197">
        <f>SUM(Y737:Y739)</f>
        <v>0</v>
      </c>
      <c r="Z736" s="197">
        <f>SUM(X736:Y736)</f>
        <v>2700000</v>
      </c>
      <c r="AA736" s="197">
        <f>SUM(AA737:AA739)</f>
        <v>2700000</v>
      </c>
      <c r="AB736" s="197">
        <f>SUM(AB737:AB739)</f>
        <v>0</v>
      </c>
      <c r="AC736" s="197">
        <f>SUM(AA736:AB736)</f>
        <v>2700000</v>
      </c>
      <c r="AD736" s="197">
        <f t="shared" si="1585"/>
        <v>16200000</v>
      </c>
      <c r="AE736" s="197">
        <f t="shared" si="1601"/>
        <v>0</v>
      </c>
      <c r="AF736" s="197">
        <f>AD736+AE736</f>
        <v>16200000</v>
      </c>
      <c r="AG736" s="197">
        <f>SUM(AG737:AG739)</f>
        <v>4800000</v>
      </c>
      <c r="AH736" s="197">
        <f>SUM(AH737:AH739)</f>
        <v>0</v>
      </c>
      <c r="AI736" s="197">
        <f>AG736+AH736</f>
        <v>4800000</v>
      </c>
      <c r="AJ736" s="197">
        <f>SUM(AJ737:AJ739)</f>
        <v>0</v>
      </c>
      <c r="AK736" s="197">
        <f>SUM(AK737:AK739)</f>
        <v>0</v>
      </c>
      <c r="AL736" s="197"/>
      <c r="AM736" s="197">
        <f t="shared" si="1534"/>
        <v>0</v>
      </c>
      <c r="AN736" s="197">
        <f>SUM(AN737:AN739)</f>
        <v>10800000</v>
      </c>
      <c r="AO736" s="197">
        <f>SUM(AO737:AO739)</f>
        <v>0</v>
      </c>
      <c r="AP736" s="197">
        <f>AN736+AO736</f>
        <v>10800000</v>
      </c>
      <c r="AQ736" s="577">
        <f t="shared" si="1562"/>
        <v>-600000</v>
      </c>
      <c r="AR736" s="47"/>
    </row>
    <row r="737" spans="2:45" ht="31.9" customHeight="1">
      <c r="B737" s="35" t="s">
        <v>1322</v>
      </c>
      <c r="C737" s="666" t="s">
        <v>1375</v>
      </c>
      <c r="D737" s="572"/>
      <c r="E737" s="663" t="s">
        <v>1102</v>
      </c>
      <c r="F737" s="663" t="s">
        <v>69</v>
      </c>
      <c r="G737" s="406">
        <v>2025</v>
      </c>
      <c r="H737" s="406">
        <v>2030</v>
      </c>
      <c r="I737" s="83">
        <v>0</v>
      </c>
      <c r="J737" s="586">
        <v>0</v>
      </c>
      <c r="K737" s="264">
        <f t="shared" ref="K737:K739" si="1604">SUM(I737:J737)</f>
        <v>0</v>
      </c>
      <c r="L737" s="83">
        <v>300000</v>
      </c>
      <c r="M737" s="83">
        <v>0</v>
      </c>
      <c r="N737" s="264">
        <f t="shared" ref="N737:N739" si="1605">SUM(L737:M737)</f>
        <v>300000</v>
      </c>
      <c r="O737" s="83">
        <v>300000</v>
      </c>
      <c r="P737" s="83">
        <v>0</v>
      </c>
      <c r="Q737" s="264">
        <f t="shared" ref="Q737:Q739" si="1606">SUM(O737:P737)</f>
        <v>300000</v>
      </c>
      <c r="R737" s="83">
        <v>300000</v>
      </c>
      <c r="S737" s="83">
        <v>0</v>
      </c>
      <c r="T737" s="264">
        <f t="shared" ref="T737:T739" si="1607">SUM(R737:S737)</f>
        <v>300000</v>
      </c>
      <c r="U737" s="83">
        <v>300000</v>
      </c>
      <c r="V737" s="83">
        <v>0</v>
      </c>
      <c r="W737" s="264">
        <f t="shared" ref="W737:W739" si="1608">SUM(U737:V737)</f>
        <v>300000</v>
      </c>
      <c r="X737" s="83">
        <v>300000</v>
      </c>
      <c r="Y737" s="83">
        <v>0</v>
      </c>
      <c r="Z737" s="264">
        <f t="shared" ref="Z737:Z739" si="1609">SUM(X737:Y737)</f>
        <v>300000</v>
      </c>
      <c r="AA737" s="83">
        <v>300000</v>
      </c>
      <c r="AB737" s="83">
        <v>0</v>
      </c>
      <c r="AC737" s="264">
        <f t="shared" ref="AC737:AC739" si="1610">SUM(AA737:AB737)</f>
        <v>300000</v>
      </c>
      <c r="AD737" s="83">
        <f t="shared" si="1585"/>
        <v>1800000</v>
      </c>
      <c r="AE737" s="83">
        <f t="shared" si="1601"/>
        <v>0</v>
      </c>
      <c r="AF737" s="264">
        <f t="shared" ref="AF737:AF739" si="1611">AD737+AE737</f>
        <v>1800000</v>
      </c>
      <c r="AG737" s="83">
        <v>0</v>
      </c>
      <c r="AH737" s="83">
        <v>0</v>
      </c>
      <c r="AI737" s="264">
        <f t="shared" ref="AI737:AI739" si="1612">SUM(AG737:AH737)</f>
        <v>0</v>
      </c>
      <c r="AJ737" s="83">
        <v>0</v>
      </c>
      <c r="AK737" s="83">
        <v>0</v>
      </c>
      <c r="AL737" s="83"/>
      <c r="AM737" s="264">
        <f t="shared" si="1534"/>
        <v>0</v>
      </c>
      <c r="AN737" s="83">
        <f>300000*4</f>
        <v>1200000</v>
      </c>
      <c r="AO737" s="83">
        <v>0</v>
      </c>
      <c r="AP737" s="264">
        <f t="shared" ref="AP737:AP739" si="1613">SUM(AN737:AO737)</f>
        <v>1200000</v>
      </c>
      <c r="AQ737" s="578">
        <f t="shared" si="1562"/>
        <v>-600000</v>
      </c>
      <c r="AR737" s="47"/>
    </row>
    <row r="738" spans="2:45" ht="31.9" customHeight="1">
      <c r="B738" s="35" t="s">
        <v>1323</v>
      </c>
      <c r="C738" s="666" t="s">
        <v>1376</v>
      </c>
      <c r="D738" s="572"/>
      <c r="E738" s="663" t="s">
        <v>1102</v>
      </c>
      <c r="F738" s="663" t="s">
        <v>69</v>
      </c>
      <c r="G738" s="406">
        <v>2025</v>
      </c>
      <c r="H738" s="406">
        <v>2030</v>
      </c>
      <c r="I738" s="83">
        <v>0</v>
      </c>
      <c r="J738" s="586">
        <v>0</v>
      </c>
      <c r="K738" s="264">
        <f t="shared" si="1604"/>
        <v>0</v>
      </c>
      <c r="L738" s="83">
        <v>600000</v>
      </c>
      <c r="M738" s="83">
        <v>0</v>
      </c>
      <c r="N738" s="264">
        <f t="shared" si="1605"/>
        <v>600000</v>
      </c>
      <c r="O738" s="83">
        <v>600000</v>
      </c>
      <c r="P738" s="83">
        <v>0</v>
      </c>
      <c r="Q738" s="264">
        <f t="shared" si="1606"/>
        <v>600000</v>
      </c>
      <c r="R738" s="83">
        <v>600000</v>
      </c>
      <c r="S738" s="83">
        <v>0</v>
      </c>
      <c r="T738" s="264">
        <f t="shared" si="1607"/>
        <v>600000</v>
      </c>
      <c r="U738" s="83">
        <v>600000</v>
      </c>
      <c r="V738" s="83">
        <v>0</v>
      </c>
      <c r="W738" s="264">
        <f t="shared" si="1608"/>
        <v>600000</v>
      </c>
      <c r="X738" s="83">
        <v>600000</v>
      </c>
      <c r="Y738" s="83">
        <v>0</v>
      </c>
      <c r="Z738" s="264">
        <f t="shared" si="1609"/>
        <v>600000</v>
      </c>
      <c r="AA738" s="83">
        <v>600000</v>
      </c>
      <c r="AB738" s="83">
        <v>0</v>
      </c>
      <c r="AC738" s="264">
        <f t="shared" si="1610"/>
        <v>600000</v>
      </c>
      <c r="AD738" s="83">
        <f t="shared" si="1585"/>
        <v>3600000</v>
      </c>
      <c r="AE738" s="83">
        <v>0</v>
      </c>
      <c r="AF738" s="264">
        <f t="shared" si="1611"/>
        <v>3600000</v>
      </c>
      <c r="AG738" s="83">
        <f>600000*2</f>
        <v>1200000</v>
      </c>
      <c r="AH738" s="83">
        <v>0</v>
      </c>
      <c r="AI738" s="264">
        <f t="shared" si="1612"/>
        <v>1200000</v>
      </c>
      <c r="AJ738" s="83">
        <v>0</v>
      </c>
      <c r="AK738" s="83">
        <v>0</v>
      </c>
      <c r="AL738" s="83"/>
      <c r="AM738" s="264">
        <f t="shared" si="1534"/>
        <v>0</v>
      </c>
      <c r="AN738" s="83">
        <f>600000*4</f>
        <v>2400000</v>
      </c>
      <c r="AO738" s="83"/>
      <c r="AP738" s="264">
        <f t="shared" si="1613"/>
        <v>2400000</v>
      </c>
      <c r="AQ738" s="578">
        <f t="shared" si="1562"/>
        <v>0</v>
      </c>
      <c r="AR738" s="47"/>
    </row>
    <row r="739" spans="2:45" ht="31.9" customHeight="1">
      <c r="B739" s="35" t="s">
        <v>1324</v>
      </c>
      <c r="C739" s="666" t="s">
        <v>1377</v>
      </c>
      <c r="D739" s="572"/>
      <c r="E739" s="663" t="s">
        <v>1102</v>
      </c>
      <c r="F739" s="663" t="s">
        <v>69</v>
      </c>
      <c r="G739" s="406">
        <v>2025</v>
      </c>
      <c r="H739" s="406">
        <v>2030</v>
      </c>
      <c r="I739" s="83">
        <v>0</v>
      </c>
      <c r="J739" s="586">
        <v>0</v>
      </c>
      <c r="K739" s="264">
        <f t="shared" si="1604"/>
        <v>0</v>
      </c>
      <c r="L739" s="83">
        <v>1800000</v>
      </c>
      <c r="M739" s="83">
        <v>0</v>
      </c>
      <c r="N739" s="264">
        <f t="shared" si="1605"/>
        <v>1800000</v>
      </c>
      <c r="O739" s="83">
        <v>1800000</v>
      </c>
      <c r="P739" s="83">
        <v>0</v>
      </c>
      <c r="Q739" s="264">
        <f t="shared" si="1606"/>
        <v>1800000</v>
      </c>
      <c r="R739" s="83">
        <v>1800000</v>
      </c>
      <c r="S739" s="83">
        <v>0</v>
      </c>
      <c r="T739" s="264">
        <f t="shared" si="1607"/>
        <v>1800000</v>
      </c>
      <c r="U739" s="83">
        <v>1800000</v>
      </c>
      <c r="V739" s="83">
        <v>0</v>
      </c>
      <c r="W739" s="264">
        <f t="shared" si="1608"/>
        <v>1800000</v>
      </c>
      <c r="X739" s="83">
        <v>1800000</v>
      </c>
      <c r="Y739" s="83">
        <v>0</v>
      </c>
      <c r="Z739" s="264">
        <f t="shared" si="1609"/>
        <v>1800000</v>
      </c>
      <c r="AA739" s="83">
        <v>1800000</v>
      </c>
      <c r="AB739" s="83">
        <v>0</v>
      </c>
      <c r="AC739" s="264">
        <f t="shared" si="1610"/>
        <v>1800000</v>
      </c>
      <c r="AD739" s="83">
        <f t="shared" si="1585"/>
        <v>10800000</v>
      </c>
      <c r="AE739" s="83">
        <v>0</v>
      </c>
      <c r="AF739" s="264">
        <f t="shared" si="1611"/>
        <v>10800000</v>
      </c>
      <c r="AG739" s="83">
        <f>1800000*2</f>
        <v>3600000</v>
      </c>
      <c r="AH739" s="83"/>
      <c r="AI739" s="264">
        <f t="shared" si="1612"/>
        <v>3600000</v>
      </c>
      <c r="AJ739" s="83">
        <v>0</v>
      </c>
      <c r="AK739" s="83">
        <v>0</v>
      </c>
      <c r="AL739" s="83"/>
      <c r="AM739" s="264">
        <f t="shared" si="1534"/>
        <v>0</v>
      </c>
      <c r="AN739" s="83">
        <f>1800000*4</f>
        <v>7200000</v>
      </c>
      <c r="AO739" s="83"/>
      <c r="AP739" s="264">
        <f t="shared" si="1613"/>
        <v>7200000</v>
      </c>
      <c r="AQ739" s="578">
        <f t="shared" si="1562"/>
        <v>0</v>
      </c>
      <c r="AR739" s="47"/>
      <c r="AS739" s="758">
        <f>200*9000</f>
        <v>1800000</v>
      </c>
    </row>
    <row r="740" spans="2:45" ht="31.9" customHeight="1">
      <c r="B740" s="210" t="s">
        <v>1317</v>
      </c>
      <c r="C740" s="571" t="s">
        <v>1378</v>
      </c>
      <c r="D740" s="571"/>
      <c r="E740" s="633" t="s">
        <v>1382</v>
      </c>
      <c r="F740" s="633"/>
      <c r="G740" s="570">
        <v>2024</v>
      </c>
      <c r="H740" s="570">
        <v>2030</v>
      </c>
      <c r="I740" s="197">
        <f>SUM(I741:I743)</f>
        <v>1500000</v>
      </c>
      <c r="J740" s="226">
        <f>SUM(J741:J743)</f>
        <v>0</v>
      </c>
      <c r="K740" s="197">
        <f>I740+J740</f>
        <v>1500000</v>
      </c>
      <c r="L740" s="197">
        <f>SUM(L741:L743)</f>
        <v>1771678</v>
      </c>
      <c r="M740" s="197">
        <f>SUM(M741:M743)</f>
        <v>0</v>
      </c>
      <c r="N740" s="197">
        <f>L740+M740</f>
        <v>1771678</v>
      </c>
      <c r="O740" s="197">
        <f>SUM(O741:O743)</f>
        <v>1771678</v>
      </c>
      <c r="P740" s="197">
        <f>SUM(P741:P743)</f>
        <v>0</v>
      </c>
      <c r="Q740" s="197">
        <f>O740+P740</f>
        <v>1771678</v>
      </c>
      <c r="R740" s="197">
        <f>SUM(R741:R743)</f>
        <v>1771678</v>
      </c>
      <c r="S740" s="197">
        <f>SUM(S741:S743)</f>
        <v>0</v>
      </c>
      <c r="T740" s="197">
        <f>R740+S740</f>
        <v>1771678</v>
      </c>
      <c r="U740" s="197">
        <f>SUM(U741:U743)</f>
        <v>1771678</v>
      </c>
      <c r="V740" s="197">
        <f>SUM(V741:V743)</f>
        <v>0</v>
      </c>
      <c r="W740" s="197">
        <f>U740+V740</f>
        <v>1771678</v>
      </c>
      <c r="X740" s="197">
        <f>SUM(X741:X743)</f>
        <v>1771678</v>
      </c>
      <c r="Y740" s="197">
        <f>SUM(Y741:Y743)</f>
        <v>0</v>
      </c>
      <c r="Z740" s="197">
        <f>SUM(X740:Y740)</f>
        <v>1771678</v>
      </c>
      <c r="AA740" s="197">
        <f>SUM(AA741:AA743)</f>
        <v>1771678</v>
      </c>
      <c r="AB740" s="197">
        <f>SUM(AB741:AB743)</f>
        <v>0</v>
      </c>
      <c r="AC740" s="197">
        <f>SUM(AA740:AB740)</f>
        <v>1771678</v>
      </c>
      <c r="AD740" s="197">
        <f t="shared" ref="AD740:AD743" si="1614">I740+L740+O740+R740+U740+X740+AA740</f>
        <v>12130068</v>
      </c>
      <c r="AE740" s="197">
        <f t="shared" ref="AE740:AE743" si="1615">J740+M740+P740+S740+V740+Y740+AB740</f>
        <v>0</v>
      </c>
      <c r="AF740" s="197">
        <f>AD740+AE740</f>
        <v>12130068</v>
      </c>
      <c r="AG740" s="197">
        <f>SUM(AG741:AG743)</f>
        <v>2043356</v>
      </c>
      <c r="AH740" s="197">
        <f>SUM(AH741:AH743)</f>
        <v>0</v>
      </c>
      <c r="AI740" s="197">
        <f>AG740+AH740</f>
        <v>2043356</v>
      </c>
      <c r="AJ740" s="197">
        <f>SUM(AJ741:AJ743)</f>
        <v>0</v>
      </c>
      <c r="AK740" s="197">
        <f>SUM(AK741:AK743)</f>
        <v>0</v>
      </c>
      <c r="AL740" s="197"/>
      <c r="AM740" s="197">
        <f t="shared" si="1534"/>
        <v>0</v>
      </c>
      <c r="AN740" s="197">
        <f>SUM(AN741:AN743)</f>
        <v>7086712</v>
      </c>
      <c r="AO740" s="197">
        <f>SUM(AO741:AO743)</f>
        <v>0</v>
      </c>
      <c r="AP740" s="197">
        <f>AN740+AO740</f>
        <v>7086712</v>
      </c>
      <c r="AQ740" s="577">
        <f t="shared" si="1562"/>
        <v>-3000000</v>
      </c>
      <c r="AR740" s="47"/>
    </row>
    <row r="741" spans="2:45" ht="31.9" customHeight="1">
      <c r="B741" s="35" t="s">
        <v>1318</v>
      </c>
      <c r="C741" s="693" t="s">
        <v>1379</v>
      </c>
      <c r="D741" s="685"/>
      <c r="E741" s="692" t="s">
        <v>1382</v>
      </c>
      <c r="F741" s="686"/>
      <c r="G741" s="602">
        <v>2024</v>
      </c>
      <c r="H741" s="602">
        <v>2030</v>
      </c>
      <c r="I741" s="586">
        <v>1500000</v>
      </c>
      <c r="J741" s="586">
        <v>0</v>
      </c>
      <c r="K741" s="264">
        <f t="shared" ref="K741:K743" si="1616">SUM(I741:J741)</f>
        <v>1500000</v>
      </c>
      <c r="L741" s="83">
        <v>1500000</v>
      </c>
      <c r="M741" s="83">
        <v>0</v>
      </c>
      <c r="N741" s="264">
        <f t="shared" ref="N741:N743" si="1617">SUM(L741:M741)</f>
        <v>1500000</v>
      </c>
      <c r="O741" s="83">
        <v>1500000</v>
      </c>
      <c r="P741" s="83">
        <v>0</v>
      </c>
      <c r="Q741" s="264">
        <f t="shared" ref="Q741:Q743" si="1618">SUM(O741:P741)</f>
        <v>1500000</v>
      </c>
      <c r="R741" s="83">
        <v>1500000</v>
      </c>
      <c r="S741" s="83">
        <v>0</v>
      </c>
      <c r="T741" s="264">
        <f t="shared" ref="T741:T743" si="1619">SUM(R741:S741)</f>
        <v>1500000</v>
      </c>
      <c r="U741" s="83">
        <v>1500000</v>
      </c>
      <c r="V741" s="83">
        <v>0</v>
      </c>
      <c r="W741" s="264">
        <f t="shared" ref="W741:W743" si="1620">SUM(U741:V741)</f>
        <v>1500000</v>
      </c>
      <c r="X741" s="83">
        <v>1500000</v>
      </c>
      <c r="Y741" s="83">
        <v>0</v>
      </c>
      <c r="Z741" s="264">
        <f t="shared" ref="Z741:Z743" si="1621">SUM(X741:Y741)</f>
        <v>1500000</v>
      </c>
      <c r="AA741" s="83">
        <v>1500000</v>
      </c>
      <c r="AB741" s="83">
        <v>0</v>
      </c>
      <c r="AC741" s="264">
        <f t="shared" ref="AC741:AC743" si="1622">SUM(AA741:AB741)</f>
        <v>1500000</v>
      </c>
      <c r="AD741" s="83">
        <f t="shared" si="1614"/>
        <v>10500000</v>
      </c>
      <c r="AE741" s="83">
        <f t="shared" si="1615"/>
        <v>0</v>
      </c>
      <c r="AF741" s="264">
        <f t="shared" ref="AF741:AF743" si="1623">AD741+AE741</f>
        <v>10500000</v>
      </c>
      <c r="AG741" s="83">
        <f>1500000*1</f>
        <v>1500000</v>
      </c>
      <c r="AH741" s="83">
        <v>0</v>
      </c>
      <c r="AI741" s="264">
        <f t="shared" ref="AI741:AI743" si="1624">SUM(AG741:AH741)</f>
        <v>1500000</v>
      </c>
      <c r="AJ741" s="83">
        <v>0</v>
      </c>
      <c r="AK741" s="83">
        <v>0</v>
      </c>
      <c r="AL741" s="83"/>
      <c r="AM741" s="264">
        <f t="shared" si="1534"/>
        <v>0</v>
      </c>
      <c r="AN741" s="83">
        <f>1500000*4</f>
        <v>6000000</v>
      </c>
      <c r="AO741" s="83">
        <v>0</v>
      </c>
      <c r="AP741" s="264">
        <f t="shared" ref="AP741:AP743" si="1625">SUM(AN741:AO741)</f>
        <v>6000000</v>
      </c>
      <c r="AQ741" s="578">
        <f t="shared" si="1562"/>
        <v>-3000000</v>
      </c>
      <c r="AR741" s="47"/>
    </row>
    <row r="742" spans="2:45" ht="31.9" customHeight="1">
      <c r="B742" s="35" t="s">
        <v>1319</v>
      </c>
      <c r="C742" s="666" t="s">
        <v>1380</v>
      </c>
      <c r="D742" s="685"/>
      <c r="E742" s="663" t="s">
        <v>1383</v>
      </c>
      <c r="F742" s="686"/>
      <c r="G742" s="602">
        <v>2026</v>
      </c>
      <c r="H742" s="602">
        <v>2030</v>
      </c>
      <c r="I742" s="586">
        <v>0</v>
      </c>
      <c r="J742" s="586">
        <v>0</v>
      </c>
      <c r="K742" s="264">
        <f t="shared" si="1616"/>
        <v>0</v>
      </c>
      <c r="L742" s="83">
        <v>271678</v>
      </c>
      <c r="M742" s="83">
        <v>0</v>
      </c>
      <c r="N742" s="264">
        <f t="shared" si="1617"/>
        <v>271678</v>
      </c>
      <c r="O742" s="83">
        <v>271678</v>
      </c>
      <c r="P742" s="83">
        <v>0</v>
      </c>
      <c r="Q742" s="264">
        <f t="shared" si="1618"/>
        <v>271678</v>
      </c>
      <c r="R742" s="83">
        <v>271678</v>
      </c>
      <c r="S742" s="83">
        <v>0</v>
      </c>
      <c r="T742" s="264">
        <f t="shared" si="1619"/>
        <v>271678</v>
      </c>
      <c r="U742" s="83">
        <v>271678</v>
      </c>
      <c r="V742" s="83">
        <v>0</v>
      </c>
      <c r="W742" s="264">
        <f t="shared" si="1620"/>
        <v>271678</v>
      </c>
      <c r="X742" s="83">
        <v>271678</v>
      </c>
      <c r="Y742" s="83">
        <v>0</v>
      </c>
      <c r="Z742" s="264">
        <f t="shared" si="1621"/>
        <v>271678</v>
      </c>
      <c r="AA742" s="83">
        <v>271678</v>
      </c>
      <c r="AB742" s="83">
        <v>0</v>
      </c>
      <c r="AC742" s="264">
        <f t="shared" si="1622"/>
        <v>271678</v>
      </c>
      <c r="AD742" s="83">
        <f t="shared" si="1614"/>
        <v>1630068</v>
      </c>
      <c r="AE742" s="83">
        <f t="shared" si="1615"/>
        <v>0</v>
      </c>
      <c r="AF742" s="264">
        <f t="shared" si="1623"/>
        <v>1630068</v>
      </c>
      <c r="AG742" s="83">
        <f>271678*2</f>
        <v>543356</v>
      </c>
      <c r="AH742" s="83">
        <v>0</v>
      </c>
      <c r="AI742" s="264">
        <f t="shared" si="1624"/>
        <v>543356</v>
      </c>
      <c r="AJ742" s="83">
        <v>0</v>
      </c>
      <c r="AK742" s="83">
        <v>0</v>
      </c>
      <c r="AL742" s="83"/>
      <c r="AM742" s="264">
        <f t="shared" si="1534"/>
        <v>0</v>
      </c>
      <c r="AN742" s="83">
        <f>271678*4</f>
        <v>1086712</v>
      </c>
      <c r="AO742" s="83"/>
      <c r="AP742" s="264">
        <f t="shared" si="1625"/>
        <v>1086712</v>
      </c>
      <c r="AQ742" s="578">
        <f t="shared" si="1562"/>
        <v>0</v>
      </c>
      <c r="AR742" s="47"/>
    </row>
    <row r="743" spans="2:45" ht="31.9" customHeight="1" thickBot="1">
      <c r="B743" s="35" t="s">
        <v>1320</v>
      </c>
      <c r="C743" s="667" t="s">
        <v>1381</v>
      </c>
      <c r="D743" s="685"/>
      <c r="E743" s="664" t="s">
        <v>1384</v>
      </c>
      <c r="F743" s="686"/>
      <c r="G743" s="602">
        <v>2025</v>
      </c>
      <c r="H743" s="602">
        <v>2030</v>
      </c>
      <c r="I743" s="586">
        <v>0</v>
      </c>
      <c r="J743" s="586">
        <v>0</v>
      </c>
      <c r="K743" s="264">
        <f t="shared" si="1616"/>
        <v>0</v>
      </c>
      <c r="L743" s="83"/>
      <c r="M743" s="83"/>
      <c r="N743" s="264">
        <f t="shared" si="1617"/>
        <v>0</v>
      </c>
      <c r="O743" s="83"/>
      <c r="P743" s="83"/>
      <c r="Q743" s="264">
        <f t="shared" si="1618"/>
        <v>0</v>
      </c>
      <c r="R743" s="83"/>
      <c r="S743" s="83"/>
      <c r="T743" s="264">
        <f t="shared" si="1619"/>
        <v>0</v>
      </c>
      <c r="U743" s="83"/>
      <c r="V743" s="83"/>
      <c r="W743" s="264">
        <f t="shared" si="1620"/>
        <v>0</v>
      </c>
      <c r="X743" s="83"/>
      <c r="Y743" s="83"/>
      <c r="Z743" s="264">
        <f t="shared" si="1621"/>
        <v>0</v>
      </c>
      <c r="AA743" s="83"/>
      <c r="AB743" s="83"/>
      <c r="AC743" s="264">
        <f t="shared" si="1622"/>
        <v>0</v>
      </c>
      <c r="AD743" s="83">
        <f t="shared" si="1614"/>
        <v>0</v>
      </c>
      <c r="AE743" s="83">
        <f t="shared" si="1615"/>
        <v>0</v>
      </c>
      <c r="AF743" s="264">
        <f t="shared" si="1623"/>
        <v>0</v>
      </c>
      <c r="AG743" s="83"/>
      <c r="AH743" s="83"/>
      <c r="AI743" s="264">
        <f t="shared" si="1624"/>
        <v>0</v>
      </c>
      <c r="AJ743" s="83">
        <v>0</v>
      </c>
      <c r="AK743" s="83">
        <v>0</v>
      </c>
      <c r="AL743" s="83"/>
      <c r="AM743" s="264">
        <f t="shared" si="1534"/>
        <v>0</v>
      </c>
      <c r="AN743" s="83"/>
      <c r="AO743" s="83"/>
      <c r="AP743" s="264">
        <f t="shared" si="1625"/>
        <v>0</v>
      </c>
      <c r="AQ743" s="578">
        <f t="shared" si="1562"/>
        <v>0</v>
      </c>
      <c r="AR743" s="47"/>
    </row>
    <row r="744" spans="2:45" s="614" customFormat="1" ht="31.9" customHeight="1" thickBot="1">
      <c r="B744" s="206"/>
      <c r="C744" s="237" t="s">
        <v>1304</v>
      </c>
      <c r="D744" s="237"/>
      <c r="E744" s="616"/>
      <c r="F744" s="616"/>
      <c r="G744" s="616"/>
      <c r="H744" s="616"/>
      <c r="I744" s="484">
        <f>SUM(I712,I717,I723,I727,I731,I736,I740)</f>
        <v>4860000</v>
      </c>
      <c r="J744" s="484">
        <f t="shared" ref="J744:AQ744" si="1626">SUM(J712,J717,J723,J727,J731,J736,J740)</f>
        <v>0</v>
      </c>
      <c r="K744" s="484">
        <f t="shared" si="1626"/>
        <v>4860000</v>
      </c>
      <c r="L744" s="484">
        <f t="shared" si="1626"/>
        <v>14013356</v>
      </c>
      <c r="M744" s="484">
        <f t="shared" si="1626"/>
        <v>0</v>
      </c>
      <c r="N744" s="484">
        <f t="shared" si="1626"/>
        <v>14013356</v>
      </c>
      <c r="O744" s="484">
        <f t="shared" si="1626"/>
        <v>14013356</v>
      </c>
      <c r="P744" s="484">
        <f t="shared" si="1626"/>
        <v>0</v>
      </c>
      <c r="Q744" s="484">
        <f t="shared" si="1626"/>
        <v>14013356</v>
      </c>
      <c r="R744" s="484">
        <f t="shared" si="1626"/>
        <v>14013356</v>
      </c>
      <c r="S744" s="484">
        <f t="shared" si="1626"/>
        <v>0</v>
      </c>
      <c r="T744" s="484">
        <f t="shared" si="1626"/>
        <v>14013356</v>
      </c>
      <c r="U744" s="484">
        <f t="shared" si="1626"/>
        <v>11613356</v>
      </c>
      <c r="V744" s="484">
        <f t="shared" si="1626"/>
        <v>0</v>
      </c>
      <c r="W744" s="484">
        <f t="shared" si="1626"/>
        <v>11613356</v>
      </c>
      <c r="X744" s="484">
        <f t="shared" si="1626"/>
        <v>11613356</v>
      </c>
      <c r="Y744" s="484">
        <f t="shared" si="1626"/>
        <v>0</v>
      </c>
      <c r="Z744" s="484">
        <f t="shared" si="1626"/>
        <v>11613356</v>
      </c>
      <c r="AA744" s="484">
        <f t="shared" si="1626"/>
        <v>11613356</v>
      </c>
      <c r="AB744" s="484">
        <f t="shared" si="1626"/>
        <v>0</v>
      </c>
      <c r="AC744" s="484">
        <f t="shared" si="1626"/>
        <v>11613356</v>
      </c>
      <c r="AD744" s="484">
        <f t="shared" si="1626"/>
        <v>81740136</v>
      </c>
      <c r="AE744" s="484">
        <f t="shared" si="1626"/>
        <v>0</v>
      </c>
      <c r="AF744" s="484">
        <f t="shared" si="1626"/>
        <v>81740136</v>
      </c>
      <c r="AG744" s="484">
        <f t="shared" si="1626"/>
        <v>16446712</v>
      </c>
      <c r="AH744" s="484">
        <f t="shared" si="1626"/>
        <v>0</v>
      </c>
      <c r="AI744" s="484">
        <f t="shared" si="1626"/>
        <v>16446712</v>
      </c>
      <c r="AJ744" s="484">
        <f t="shared" si="1626"/>
        <v>0</v>
      </c>
      <c r="AK744" s="484">
        <f t="shared" si="1626"/>
        <v>0</v>
      </c>
      <c r="AL744" s="484">
        <f t="shared" si="1626"/>
        <v>0</v>
      </c>
      <c r="AM744" s="484">
        <f t="shared" si="1626"/>
        <v>0</v>
      </c>
      <c r="AN744" s="484">
        <f t="shared" si="1626"/>
        <v>46453424</v>
      </c>
      <c r="AO744" s="484">
        <f t="shared" si="1626"/>
        <v>0</v>
      </c>
      <c r="AP744" s="484">
        <f t="shared" si="1626"/>
        <v>46453424</v>
      </c>
      <c r="AQ744" s="591">
        <f t="shared" si="1626"/>
        <v>-18840000</v>
      </c>
      <c r="AR744" s="615" t="e">
        <f>SUM(AR653,AR658,AR664,AR667,AR673,AR675,AR681,AR686,AR689,AR692,AR697,AR704,AR708,#REF!)</f>
        <v>#REF!</v>
      </c>
    </row>
    <row r="745" spans="2:45" ht="47.45" customHeight="1">
      <c r="B745" s="55">
        <v>5.3</v>
      </c>
      <c r="C745" s="845" t="s">
        <v>1583</v>
      </c>
      <c r="D745" s="846"/>
      <c r="E745" s="90"/>
      <c r="F745" s="90"/>
      <c r="G745" s="90"/>
      <c r="H745" s="90"/>
      <c r="I745" s="103"/>
      <c r="J745" s="103"/>
      <c r="K745" s="103"/>
      <c r="L745" s="103"/>
      <c r="M745" s="103"/>
      <c r="N745" s="103"/>
      <c r="O745" s="103"/>
      <c r="P745" s="103"/>
      <c r="Q745" s="103"/>
      <c r="R745" s="103"/>
      <c r="S745" s="103"/>
      <c r="T745" s="103"/>
      <c r="U745" s="103"/>
      <c r="V745" s="103"/>
      <c r="W745" s="103"/>
      <c r="X745" s="103"/>
      <c r="Y745" s="103"/>
      <c r="Z745" s="103"/>
      <c r="AA745" s="103"/>
      <c r="AB745" s="103"/>
      <c r="AC745" s="103"/>
      <c r="AD745" s="103"/>
      <c r="AE745" s="103"/>
      <c r="AF745" s="103"/>
      <c r="AG745" s="103"/>
      <c r="AH745" s="103"/>
      <c r="AI745" s="103"/>
      <c r="AJ745" s="103"/>
      <c r="AK745" s="103"/>
      <c r="AL745" s="103"/>
      <c r="AM745" s="103"/>
      <c r="AN745" s="103"/>
      <c r="AO745" s="103"/>
      <c r="AP745" s="103"/>
      <c r="AQ745" s="306"/>
      <c r="AR745" s="47"/>
    </row>
    <row r="746" spans="2:45" ht="31.9" customHeight="1">
      <c r="B746" s="35"/>
      <c r="C746" s="675" t="s">
        <v>68</v>
      </c>
      <c r="D746" s="180"/>
      <c r="E746" s="631"/>
      <c r="F746" s="631"/>
      <c r="G746" s="631"/>
      <c r="H746" s="631"/>
      <c r="I746" s="586"/>
      <c r="J746" s="586"/>
      <c r="K746" s="83"/>
      <c r="L746" s="83"/>
      <c r="M746" s="83"/>
      <c r="N746" s="83"/>
      <c r="O746" s="83"/>
      <c r="P746" s="83"/>
      <c r="Q746" s="83"/>
      <c r="R746" s="83"/>
      <c r="S746" s="83"/>
      <c r="T746" s="83"/>
      <c r="U746" s="83"/>
      <c r="V746" s="83"/>
      <c r="W746" s="83"/>
      <c r="X746" s="83"/>
      <c r="Y746" s="83"/>
      <c r="Z746" s="83"/>
      <c r="AA746" s="83"/>
      <c r="AB746" s="83"/>
      <c r="AC746" s="83"/>
      <c r="AD746" s="83"/>
      <c r="AE746" s="83"/>
      <c r="AF746" s="83"/>
      <c r="AG746" s="83"/>
      <c r="AH746" s="83"/>
      <c r="AI746" s="83"/>
      <c r="AJ746" s="83"/>
      <c r="AK746" s="83"/>
      <c r="AL746" s="83"/>
      <c r="AM746" s="83"/>
      <c r="AN746" s="83"/>
      <c r="AO746" s="83"/>
      <c r="AP746" s="83"/>
      <c r="AQ746" s="112"/>
      <c r="AR746" s="47"/>
    </row>
    <row r="747" spans="2:45" s="444" customFormat="1" ht="59.45" customHeight="1" thickBot="1">
      <c r="B747" s="438" t="s">
        <v>1386</v>
      </c>
      <c r="C747" s="287" t="s">
        <v>1396</v>
      </c>
      <c r="D747" s="287"/>
      <c r="E747" s="633" t="s">
        <v>69</v>
      </c>
      <c r="F747" s="633" t="s">
        <v>1102</v>
      </c>
      <c r="G747" s="633">
        <v>2024</v>
      </c>
      <c r="H747" s="633">
        <v>2030</v>
      </c>
      <c r="I747" s="700">
        <f>SUM(I748:I751)</f>
        <v>6180000</v>
      </c>
      <c r="J747" s="700">
        <f>SUM(J748:J751)</f>
        <v>0</v>
      </c>
      <c r="K747" s="700">
        <f>I747+J747</f>
        <v>6180000</v>
      </c>
      <c r="L747" s="700">
        <f>SUM(L748:L751)</f>
        <v>6180000</v>
      </c>
      <c r="M747" s="700">
        <f>SUM(M748:M751)</f>
        <v>0</v>
      </c>
      <c r="N747" s="700">
        <f>L747+M747</f>
        <v>6180000</v>
      </c>
      <c r="O747" s="700">
        <f>SUM(O748:O751)</f>
        <v>6180000</v>
      </c>
      <c r="P747" s="700">
        <f>SUM(P748:P751)</f>
        <v>0</v>
      </c>
      <c r="Q747" s="700">
        <f>O747+P747</f>
        <v>6180000</v>
      </c>
      <c r="R747" s="700">
        <f>SUM(R748:R751)</f>
        <v>6180000</v>
      </c>
      <c r="S747" s="700">
        <f>SUM(S748:S751)</f>
        <v>0</v>
      </c>
      <c r="T747" s="700">
        <f>R747+S747</f>
        <v>6180000</v>
      </c>
      <c r="U747" s="700">
        <f>SUM(U748:U751)</f>
        <v>6180000</v>
      </c>
      <c r="V747" s="700">
        <f>SUM(V748:V751)</f>
        <v>0</v>
      </c>
      <c r="W747" s="700">
        <f>U747+V747</f>
        <v>6180000</v>
      </c>
      <c r="X747" s="700">
        <f>SUM(X748:X751)</f>
        <v>6180000</v>
      </c>
      <c r="Y747" s="700">
        <f>SUM(Y748:Y751)</f>
        <v>0</v>
      </c>
      <c r="Z747" s="700">
        <f>SUM(Z748:Z751)</f>
        <v>6180000</v>
      </c>
      <c r="AA747" s="700">
        <f>SUM(AA748:AA751)</f>
        <v>6180000</v>
      </c>
      <c r="AB747" s="700">
        <f>SUM(AB748:AB751)</f>
        <v>0</v>
      </c>
      <c r="AC747" s="700">
        <f>SUM(AA747:AB747)</f>
        <v>6180000</v>
      </c>
      <c r="AD747" s="700">
        <f t="shared" ref="AD747:AD751" si="1627">I747+L747+O747+R747+U747+X747+AA747</f>
        <v>43260000</v>
      </c>
      <c r="AE747" s="700">
        <f t="shared" ref="AE747:AE751" si="1628">J747+M747+P747+S747+V747+Y747+AB747</f>
        <v>0</v>
      </c>
      <c r="AF747" s="700">
        <f>AD747+AE747</f>
        <v>43260000</v>
      </c>
      <c r="AG747" s="700">
        <f>SUM(AG748:AG751)</f>
        <v>9280000</v>
      </c>
      <c r="AH747" s="700">
        <f>SUM(AH748:AH751)</f>
        <v>0</v>
      </c>
      <c r="AI747" s="700">
        <f>AG747+AH747</f>
        <v>9280000</v>
      </c>
      <c r="AJ747" s="700">
        <f>SUM(AJ748:AJ751)</f>
        <v>0</v>
      </c>
      <c r="AK747" s="700">
        <f>SUM(AK748:AK751)</f>
        <v>0</v>
      </c>
      <c r="AL747" s="700"/>
      <c r="AM747" s="700">
        <f t="shared" ref="AM747:AM762" si="1629">AJ747+AK747</f>
        <v>0</v>
      </c>
      <c r="AN747" s="700">
        <f>SUM(AN748:AN751)</f>
        <v>24720000</v>
      </c>
      <c r="AO747" s="700">
        <f>SUM(AO748:AO751)</f>
        <v>0</v>
      </c>
      <c r="AP747" s="700">
        <f>AN747+AO747</f>
        <v>24720000</v>
      </c>
      <c r="AQ747" s="705">
        <f t="shared" ref="AQ747:AQ758" si="1630">SUM(AP747+AM747+AI747)-AF747</f>
        <v>-9260000</v>
      </c>
      <c r="AR747" s="443"/>
    </row>
    <row r="748" spans="2:45" s="444" customFormat="1">
      <c r="B748" s="694" t="s">
        <v>1388</v>
      </c>
      <c r="C748" s="695" t="s">
        <v>1589</v>
      </c>
      <c r="D748" s="423"/>
      <c r="E748" s="662" t="s">
        <v>69</v>
      </c>
      <c r="F748" s="668" t="s">
        <v>1102</v>
      </c>
      <c r="G748" s="406">
        <v>2024</v>
      </c>
      <c r="H748" s="406">
        <v>2030</v>
      </c>
      <c r="I748" s="698">
        <v>500000</v>
      </c>
      <c r="J748" s="698">
        <v>0</v>
      </c>
      <c r="K748" s="699">
        <f t="shared" ref="K748:K751" si="1631">SUM(I748:J748)</f>
        <v>500000</v>
      </c>
      <c r="L748" s="698">
        <v>500000</v>
      </c>
      <c r="M748" s="698">
        <v>0</v>
      </c>
      <c r="N748" s="699">
        <f t="shared" ref="N748:N751" si="1632">SUM(L748:M748)</f>
        <v>500000</v>
      </c>
      <c r="O748" s="698">
        <v>500000</v>
      </c>
      <c r="P748" s="698">
        <v>0</v>
      </c>
      <c r="Q748" s="699">
        <f t="shared" ref="Q748:Q751" si="1633">SUM(O748:P748)</f>
        <v>500000</v>
      </c>
      <c r="R748" s="698">
        <v>500000</v>
      </c>
      <c r="S748" s="698">
        <v>0</v>
      </c>
      <c r="T748" s="699">
        <f t="shared" ref="T748:T751" si="1634">SUM(R748:S748)</f>
        <v>500000</v>
      </c>
      <c r="U748" s="698">
        <v>500000</v>
      </c>
      <c r="V748" s="698">
        <v>0</v>
      </c>
      <c r="W748" s="699">
        <f t="shared" ref="W748:W751" si="1635">SUM(U748:V748)</f>
        <v>500000</v>
      </c>
      <c r="X748" s="698">
        <v>500000</v>
      </c>
      <c r="Y748" s="698">
        <v>0</v>
      </c>
      <c r="Z748" s="699">
        <f t="shared" ref="Z748:Z751" si="1636">SUM(X748:Y748)</f>
        <v>500000</v>
      </c>
      <c r="AA748" s="698">
        <v>500000</v>
      </c>
      <c r="AB748" s="698">
        <v>0</v>
      </c>
      <c r="AC748" s="699">
        <f t="shared" ref="AC748:AC751" si="1637">SUM(AA748:AB748)</f>
        <v>500000</v>
      </c>
      <c r="AD748" s="698">
        <f t="shared" si="1627"/>
        <v>3500000</v>
      </c>
      <c r="AE748" s="698">
        <f t="shared" si="1628"/>
        <v>0</v>
      </c>
      <c r="AF748" s="699">
        <f t="shared" ref="AF748:AF751" si="1638">AD748+AE748</f>
        <v>3500000</v>
      </c>
      <c r="AG748" s="698">
        <v>0</v>
      </c>
      <c r="AH748" s="698">
        <v>0</v>
      </c>
      <c r="AI748" s="699">
        <f t="shared" ref="AI748:AI751" si="1639">SUM(AG748:AH748)</f>
        <v>0</v>
      </c>
      <c r="AJ748" s="698">
        <v>0</v>
      </c>
      <c r="AK748" s="698">
        <v>0</v>
      </c>
      <c r="AL748" s="698"/>
      <c r="AM748" s="699">
        <f t="shared" si="1629"/>
        <v>0</v>
      </c>
      <c r="AN748" s="698">
        <f>500000*4</f>
        <v>2000000</v>
      </c>
      <c r="AO748" s="698">
        <v>0</v>
      </c>
      <c r="AP748" s="699">
        <f t="shared" ref="AP748:AP751" si="1640">SUM(AN748:AO748)</f>
        <v>2000000</v>
      </c>
      <c r="AQ748" s="706">
        <f t="shared" si="1630"/>
        <v>-1500000</v>
      </c>
      <c r="AR748" s="443"/>
    </row>
    <row r="749" spans="2:45" s="444" customFormat="1" ht="31.9" customHeight="1">
      <c r="B749" s="694" t="s">
        <v>1389</v>
      </c>
      <c r="C749" s="696" t="s">
        <v>1397</v>
      </c>
      <c r="D749" s="423"/>
      <c r="E749" s="663" t="s">
        <v>69</v>
      </c>
      <c r="F749" s="669"/>
      <c r="G749" s="406">
        <v>2024</v>
      </c>
      <c r="H749" s="406">
        <v>2030</v>
      </c>
      <c r="I749" s="698">
        <v>1480000</v>
      </c>
      <c r="J749" s="698">
        <v>0</v>
      </c>
      <c r="K749" s="699">
        <f t="shared" si="1631"/>
        <v>1480000</v>
      </c>
      <c r="L749" s="698">
        <v>1480000</v>
      </c>
      <c r="M749" s="698">
        <v>0</v>
      </c>
      <c r="N749" s="699">
        <f t="shared" si="1632"/>
        <v>1480000</v>
      </c>
      <c r="O749" s="698">
        <v>1480000</v>
      </c>
      <c r="P749" s="698">
        <v>0</v>
      </c>
      <c r="Q749" s="699">
        <f t="shared" si="1633"/>
        <v>1480000</v>
      </c>
      <c r="R749" s="698">
        <v>1480000</v>
      </c>
      <c r="S749" s="698">
        <v>0</v>
      </c>
      <c r="T749" s="699">
        <f t="shared" si="1634"/>
        <v>1480000</v>
      </c>
      <c r="U749" s="698">
        <v>1480000</v>
      </c>
      <c r="V749" s="698">
        <v>0</v>
      </c>
      <c r="W749" s="699">
        <f t="shared" si="1635"/>
        <v>1480000</v>
      </c>
      <c r="X749" s="698">
        <v>1480000</v>
      </c>
      <c r="Y749" s="698">
        <v>0</v>
      </c>
      <c r="Z749" s="699">
        <f t="shared" si="1636"/>
        <v>1480000</v>
      </c>
      <c r="AA749" s="698">
        <v>1480000</v>
      </c>
      <c r="AB749" s="698">
        <v>0</v>
      </c>
      <c r="AC749" s="699">
        <f t="shared" si="1637"/>
        <v>1480000</v>
      </c>
      <c r="AD749" s="698">
        <f t="shared" si="1627"/>
        <v>10360000</v>
      </c>
      <c r="AE749" s="698">
        <f t="shared" si="1628"/>
        <v>0</v>
      </c>
      <c r="AF749" s="699">
        <f t="shared" si="1638"/>
        <v>10360000</v>
      </c>
      <c r="AG749" s="698">
        <f>1480000*1</f>
        <v>1480000</v>
      </c>
      <c r="AH749" s="698">
        <v>0</v>
      </c>
      <c r="AI749" s="699">
        <f t="shared" si="1639"/>
        <v>1480000</v>
      </c>
      <c r="AJ749" s="698">
        <v>0</v>
      </c>
      <c r="AK749" s="698">
        <v>0</v>
      </c>
      <c r="AL749" s="698"/>
      <c r="AM749" s="699">
        <f t="shared" si="1629"/>
        <v>0</v>
      </c>
      <c r="AN749" s="698">
        <f>1480000*4</f>
        <v>5920000</v>
      </c>
      <c r="AO749" s="698">
        <v>0</v>
      </c>
      <c r="AP749" s="699">
        <f t="shared" si="1640"/>
        <v>5920000</v>
      </c>
      <c r="AQ749" s="706">
        <f t="shared" si="1630"/>
        <v>-2960000</v>
      </c>
      <c r="AR749" s="443"/>
    </row>
    <row r="750" spans="2:45" s="444" customFormat="1" ht="31.9" customHeight="1">
      <c r="B750" s="694" t="s">
        <v>1390</v>
      </c>
      <c r="C750" s="696" t="s">
        <v>1398</v>
      </c>
      <c r="D750" s="423"/>
      <c r="E750" s="663" t="s">
        <v>69</v>
      </c>
      <c r="F750" s="669"/>
      <c r="G750" s="406">
        <v>2024</v>
      </c>
      <c r="H750" s="406">
        <v>2030</v>
      </c>
      <c r="I750" s="698">
        <v>2400000</v>
      </c>
      <c r="J750" s="698">
        <v>0</v>
      </c>
      <c r="K750" s="699">
        <f t="shared" si="1631"/>
        <v>2400000</v>
      </c>
      <c r="L750" s="698">
        <v>2400000</v>
      </c>
      <c r="M750" s="698">
        <v>0</v>
      </c>
      <c r="N750" s="699">
        <f t="shared" si="1632"/>
        <v>2400000</v>
      </c>
      <c r="O750" s="698">
        <v>2400000</v>
      </c>
      <c r="P750" s="698">
        <v>0</v>
      </c>
      <c r="Q750" s="699">
        <f t="shared" si="1633"/>
        <v>2400000</v>
      </c>
      <c r="R750" s="698">
        <v>2400000</v>
      </c>
      <c r="S750" s="698">
        <v>0</v>
      </c>
      <c r="T750" s="699">
        <f t="shared" si="1634"/>
        <v>2400000</v>
      </c>
      <c r="U750" s="698">
        <v>2400000</v>
      </c>
      <c r="V750" s="698">
        <v>0</v>
      </c>
      <c r="W750" s="699">
        <f t="shared" si="1635"/>
        <v>2400000</v>
      </c>
      <c r="X750" s="698">
        <v>2400000</v>
      </c>
      <c r="Y750" s="698">
        <v>0</v>
      </c>
      <c r="Z750" s="699">
        <f t="shared" si="1636"/>
        <v>2400000</v>
      </c>
      <c r="AA750" s="698">
        <v>2400000</v>
      </c>
      <c r="AB750" s="698">
        <v>0</v>
      </c>
      <c r="AC750" s="699">
        <f t="shared" si="1637"/>
        <v>2400000</v>
      </c>
      <c r="AD750" s="698">
        <f t="shared" si="1627"/>
        <v>16800000</v>
      </c>
      <c r="AE750" s="698">
        <f t="shared" si="1628"/>
        <v>0</v>
      </c>
      <c r="AF750" s="699">
        <f t="shared" si="1638"/>
        <v>16800000</v>
      </c>
      <c r="AG750" s="698">
        <f>2400000*1</f>
        <v>2400000</v>
      </c>
      <c r="AH750" s="698">
        <v>0</v>
      </c>
      <c r="AI750" s="699">
        <f t="shared" si="1639"/>
        <v>2400000</v>
      </c>
      <c r="AJ750" s="698">
        <v>0</v>
      </c>
      <c r="AK750" s="698">
        <v>0</v>
      </c>
      <c r="AL750" s="698"/>
      <c r="AM750" s="699">
        <f t="shared" si="1629"/>
        <v>0</v>
      </c>
      <c r="AN750" s="698">
        <f>2400000*4</f>
        <v>9600000</v>
      </c>
      <c r="AO750" s="698">
        <v>0</v>
      </c>
      <c r="AP750" s="699">
        <f t="shared" si="1640"/>
        <v>9600000</v>
      </c>
      <c r="AQ750" s="706">
        <f t="shared" si="1630"/>
        <v>-4800000</v>
      </c>
      <c r="AR750" s="443"/>
    </row>
    <row r="751" spans="2:45" s="444" customFormat="1" ht="31.9" customHeight="1">
      <c r="B751" s="694" t="s">
        <v>1391</v>
      </c>
      <c r="C751" s="697" t="s">
        <v>1399</v>
      </c>
      <c r="D751" s="423"/>
      <c r="E751" s="680" t="s">
        <v>69</v>
      </c>
      <c r="F751" s="682"/>
      <c r="G751" s="406">
        <v>2024</v>
      </c>
      <c r="H751" s="406">
        <v>2030</v>
      </c>
      <c r="I751" s="698">
        <v>1800000</v>
      </c>
      <c r="J751" s="698">
        <v>0</v>
      </c>
      <c r="K751" s="699">
        <f t="shared" si="1631"/>
        <v>1800000</v>
      </c>
      <c r="L751" s="698">
        <v>1800000</v>
      </c>
      <c r="M751" s="698">
        <v>0</v>
      </c>
      <c r="N751" s="699">
        <f t="shared" si="1632"/>
        <v>1800000</v>
      </c>
      <c r="O751" s="698">
        <v>1800000</v>
      </c>
      <c r="P751" s="698">
        <v>0</v>
      </c>
      <c r="Q751" s="699">
        <f t="shared" si="1633"/>
        <v>1800000</v>
      </c>
      <c r="R751" s="698">
        <v>1800000</v>
      </c>
      <c r="S751" s="698">
        <v>0</v>
      </c>
      <c r="T751" s="699">
        <f t="shared" si="1634"/>
        <v>1800000</v>
      </c>
      <c r="U751" s="698">
        <v>1800000</v>
      </c>
      <c r="V751" s="698">
        <v>0</v>
      </c>
      <c r="W751" s="699">
        <f t="shared" si="1635"/>
        <v>1800000</v>
      </c>
      <c r="X751" s="698">
        <v>1800000</v>
      </c>
      <c r="Y751" s="698">
        <v>0</v>
      </c>
      <c r="Z751" s="699">
        <f t="shared" si="1636"/>
        <v>1800000</v>
      </c>
      <c r="AA751" s="698">
        <v>1800000</v>
      </c>
      <c r="AB751" s="698">
        <v>0</v>
      </c>
      <c r="AC751" s="699">
        <f t="shared" si="1637"/>
        <v>1800000</v>
      </c>
      <c r="AD751" s="698">
        <f t="shared" si="1627"/>
        <v>12600000</v>
      </c>
      <c r="AE751" s="698">
        <f t="shared" si="1628"/>
        <v>0</v>
      </c>
      <c r="AF751" s="699">
        <f t="shared" si="1638"/>
        <v>12600000</v>
      </c>
      <c r="AG751" s="698">
        <f>1800000*3</f>
        <v>5400000</v>
      </c>
      <c r="AH751" s="698">
        <v>0</v>
      </c>
      <c r="AI751" s="699">
        <f t="shared" si="1639"/>
        <v>5400000</v>
      </c>
      <c r="AJ751" s="698">
        <v>0</v>
      </c>
      <c r="AK751" s="698">
        <v>0</v>
      </c>
      <c r="AL751" s="698"/>
      <c r="AM751" s="699">
        <f t="shared" si="1629"/>
        <v>0</v>
      </c>
      <c r="AN751" s="698">
        <f>1800000*4</f>
        <v>7200000</v>
      </c>
      <c r="AO751" s="698">
        <v>0</v>
      </c>
      <c r="AP751" s="699">
        <f t="shared" si="1640"/>
        <v>7200000</v>
      </c>
      <c r="AQ751" s="706">
        <f t="shared" si="1630"/>
        <v>0</v>
      </c>
      <c r="AR751" s="443"/>
    </row>
    <row r="752" spans="2:45" s="444" customFormat="1" ht="31.9" customHeight="1" thickBot="1">
      <c r="B752" s="438" t="s">
        <v>1387</v>
      </c>
      <c r="C752" s="287" t="s">
        <v>1400</v>
      </c>
      <c r="D752" s="287"/>
      <c r="E752" s="633" t="s">
        <v>1404</v>
      </c>
      <c r="F752" s="633" t="s">
        <v>1405</v>
      </c>
      <c r="G752" s="633">
        <v>2026</v>
      </c>
      <c r="H752" s="633">
        <v>2030</v>
      </c>
      <c r="I752" s="700">
        <f>SUM(I753:I755)</f>
        <v>0</v>
      </c>
      <c r="J752" s="700">
        <f>SUM(J753:J755)</f>
        <v>0</v>
      </c>
      <c r="K752" s="700">
        <f>I752+J752</f>
        <v>0</v>
      </c>
      <c r="L752" s="700">
        <f>SUM(L753:L755)</f>
        <v>0</v>
      </c>
      <c r="M752" s="700">
        <f>SUM(M753:M755)</f>
        <v>0</v>
      </c>
      <c r="N752" s="700">
        <f>L752+M752</f>
        <v>0</v>
      </c>
      <c r="O752" s="700">
        <f>SUM(O753:O755)</f>
        <v>16016634</v>
      </c>
      <c r="P752" s="700">
        <f>SUM(P753:P755)</f>
        <v>0</v>
      </c>
      <c r="Q752" s="700">
        <f>O752+P752</f>
        <v>16016634</v>
      </c>
      <c r="R752" s="700">
        <f>SUM(R753:R755)</f>
        <v>16016634</v>
      </c>
      <c r="S752" s="700">
        <f>SUM(S753:S755)</f>
        <v>0</v>
      </c>
      <c r="T752" s="700">
        <f>R752+S752</f>
        <v>16016634</v>
      </c>
      <c r="U752" s="700">
        <f>SUM(U753:U755)</f>
        <v>16016634</v>
      </c>
      <c r="V752" s="700">
        <f>SUM(V753:V755)</f>
        <v>0</v>
      </c>
      <c r="W752" s="700">
        <f>U752+V752</f>
        <v>16016634</v>
      </c>
      <c r="X752" s="700">
        <f>SUM(X753:X755)</f>
        <v>16016634</v>
      </c>
      <c r="Y752" s="700">
        <f>SUM(Y753:Y755)</f>
        <v>0</v>
      </c>
      <c r="Z752" s="700">
        <f>SUM(Z753:Z755)</f>
        <v>16016634</v>
      </c>
      <c r="AA752" s="700">
        <f>SUM(AA753:AA755)</f>
        <v>16016634</v>
      </c>
      <c r="AB752" s="700">
        <f>SUM(AB753:AB755)</f>
        <v>0</v>
      </c>
      <c r="AC752" s="700">
        <f>SUM(AA752:AB752)</f>
        <v>16016634</v>
      </c>
      <c r="AD752" s="700">
        <f t="shared" ref="AD752:AD755" si="1641">I752+L752+O752+R752+U752+X752+AA752</f>
        <v>80083170</v>
      </c>
      <c r="AE752" s="700">
        <f t="shared" ref="AE752:AE753" si="1642">J752+M752+P752+S752+V752+Y752+AB752</f>
        <v>0</v>
      </c>
      <c r="AF752" s="700">
        <f>AD752+AE752</f>
        <v>80083170</v>
      </c>
      <c r="AG752" s="700">
        <f>SUM(AG753:AG755)</f>
        <v>15056634</v>
      </c>
      <c r="AH752" s="700">
        <f>SUM(AH753:AH755)</f>
        <v>0</v>
      </c>
      <c r="AI752" s="700">
        <f>AG752+AH752</f>
        <v>15056634</v>
      </c>
      <c r="AJ752" s="700">
        <f>SUM(AJ753:AJ755)</f>
        <v>0</v>
      </c>
      <c r="AK752" s="700">
        <f>SUM(AK753:AK755)</f>
        <v>0</v>
      </c>
      <c r="AL752" s="700"/>
      <c r="AM752" s="700">
        <f t="shared" si="1629"/>
        <v>0</v>
      </c>
      <c r="AN752" s="700">
        <f>SUM(AN753:AN755)</f>
        <v>64066536</v>
      </c>
      <c r="AO752" s="700">
        <f>SUM(AO753:AO755)</f>
        <v>0</v>
      </c>
      <c r="AP752" s="700">
        <f>AN752+AO752</f>
        <v>64066536</v>
      </c>
      <c r="AQ752" s="705">
        <f t="shared" si="1630"/>
        <v>-960000</v>
      </c>
      <c r="AR752" s="443"/>
    </row>
    <row r="753" spans="2:44" s="444" customFormat="1" ht="31.9" customHeight="1">
      <c r="B753" s="694" t="s">
        <v>1333</v>
      </c>
      <c r="C753" s="695" t="s">
        <v>1401</v>
      </c>
      <c r="D753" s="423"/>
      <c r="E753" s="671" t="s">
        <v>1404</v>
      </c>
      <c r="F753" s="702" t="s">
        <v>1405</v>
      </c>
      <c r="G753" s="406">
        <v>2026</v>
      </c>
      <c r="H753" s="406">
        <v>2030</v>
      </c>
      <c r="I753" s="698">
        <v>0</v>
      </c>
      <c r="J753" s="698">
        <v>0</v>
      </c>
      <c r="K753" s="699">
        <f t="shared" ref="K753:K755" si="1643">SUM(I753:J753)</f>
        <v>0</v>
      </c>
      <c r="L753" s="698">
        <v>0</v>
      </c>
      <c r="M753" s="698">
        <v>0</v>
      </c>
      <c r="N753" s="699">
        <f t="shared" ref="N753:N755" si="1644">SUM(L753:M753)</f>
        <v>0</v>
      </c>
      <c r="O753" s="698">
        <v>10867104</v>
      </c>
      <c r="P753" s="698">
        <v>0</v>
      </c>
      <c r="Q753" s="699">
        <f t="shared" ref="Q753:Q755" si="1645">SUM(O753:P753)</f>
        <v>10867104</v>
      </c>
      <c r="R753" s="698">
        <v>10867104</v>
      </c>
      <c r="S753" s="698">
        <v>0</v>
      </c>
      <c r="T753" s="699">
        <f t="shared" ref="T753:T755" si="1646">SUM(R753:S753)</f>
        <v>10867104</v>
      </c>
      <c r="U753" s="698">
        <v>10867104</v>
      </c>
      <c r="V753" s="698">
        <v>0</v>
      </c>
      <c r="W753" s="699">
        <f t="shared" ref="W753:W755" si="1647">SUM(U753:V753)</f>
        <v>10867104</v>
      </c>
      <c r="X753" s="698">
        <v>10867104</v>
      </c>
      <c r="Y753" s="698">
        <v>0</v>
      </c>
      <c r="Z753" s="699">
        <f t="shared" ref="Z753:Z755" si="1648">SUM(X753:Y753)</f>
        <v>10867104</v>
      </c>
      <c r="AA753" s="698">
        <v>10867104</v>
      </c>
      <c r="AB753" s="698">
        <v>0</v>
      </c>
      <c r="AC753" s="699">
        <f t="shared" ref="AC753:AC755" si="1649">SUM(AA753:AB753)</f>
        <v>10867104</v>
      </c>
      <c r="AD753" s="698">
        <f t="shared" si="1641"/>
        <v>54335520</v>
      </c>
      <c r="AE753" s="698">
        <f t="shared" si="1642"/>
        <v>0</v>
      </c>
      <c r="AF753" s="699">
        <f t="shared" ref="AF753:AF755" si="1650">AD753+AE753</f>
        <v>54335520</v>
      </c>
      <c r="AG753" s="698">
        <f>10867104*1</f>
        <v>10867104</v>
      </c>
      <c r="AH753" s="698">
        <v>0</v>
      </c>
      <c r="AI753" s="699">
        <f t="shared" ref="AI753:AI755" si="1651">SUM(AG753:AH753)</f>
        <v>10867104</v>
      </c>
      <c r="AJ753" s="698">
        <v>0</v>
      </c>
      <c r="AK753" s="698">
        <v>0</v>
      </c>
      <c r="AL753" s="698"/>
      <c r="AM753" s="699">
        <f t="shared" si="1629"/>
        <v>0</v>
      </c>
      <c r="AN753" s="698">
        <f>10867104*4</f>
        <v>43468416</v>
      </c>
      <c r="AO753" s="698">
        <v>0</v>
      </c>
      <c r="AP753" s="699">
        <f t="shared" ref="AP753:AP755" si="1652">SUM(AN753:AO753)</f>
        <v>43468416</v>
      </c>
      <c r="AQ753" s="706">
        <f t="shared" si="1630"/>
        <v>0</v>
      </c>
      <c r="AR753" s="443"/>
    </row>
    <row r="754" spans="2:44" s="444" customFormat="1" ht="53.45" customHeight="1">
      <c r="B754" s="694" t="s">
        <v>1334</v>
      </c>
      <c r="C754" s="696" t="s">
        <v>1402</v>
      </c>
      <c r="D754" s="423"/>
      <c r="E754" s="673" t="s">
        <v>1404</v>
      </c>
      <c r="F754" s="703"/>
      <c r="G754" s="406">
        <v>2026</v>
      </c>
      <c r="H754" s="406">
        <v>2030</v>
      </c>
      <c r="I754" s="698">
        <v>0</v>
      </c>
      <c r="J754" s="698">
        <v>0</v>
      </c>
      <c r="K754" s="699">
        <f t="shared" si="1643"/>
        <v>0</v>
      </c>
      <c r="L754" s="698">
        <v>0</v>
      </c>
      <c r="M754" s="698">
        <v>0</v>
      </c>
      <c r="N754" s="699">
        <f t="shared" si="1644"/>
        <v>0</v>
      </c>
      <c r="O754" s="698">
        <v>4189530</v>
      </c>
      <c r="P754" s="698">
        <v>0</v>
      </c>
      <c r="Q754" s="699">
        <f t="shared" si="1645"/>
        <v>4189530</v>
      </c>
      <c r="R754" s="698">
        <v>4189530</v>
      </c>
      <c r="S754" s="698">
        <v>0</v>
      </c>
      <c r="T754" s="699">
        <f t="shared" si="1646"/>
        <v>4189530</v>
      </c>
      <c r="U754" s="698">
        <v>4189530</v>
      </c>
      <c r="V754" s="698">
        <v>0</v>
      </c>
      <c r="W754" s="699">
        <f t="shared" si="1647"/>
        <v>4189530</v>
      </c>
      <c r="X754" s="698">
        <v>4189530</v>
      </c>
      <c r="Y754" s="698">
        <v>0</v>
      </c>
      <c r="Z754" s="699">
        <f t="shared" si="1648"/>
        <v>4189530</v>
      </c>
      <c r="AA754" s="698">
        <v>4189530</v>
      </c>
      <c r="AB754" s="698">
        <v>0</v>
      </c>
      <c r="AC754" s="699">
        <f t="shared" si="1649"/>
        <v>4189530</v>
      </c>
      <c r="AD754" s="698">
        <f t="shared" si="1641"/>
        <v>20947650</v>
      </c>
      <c r="AE754" s="698">
        <v>0</v>
      </c>
      <c r="AF754" s="699">
        <f t="shared" si="1650"/>
        <v>20947650</v>
      </c>
      <c r="AG754" s="698">
        <f>4189530*1</f>
        <v>4189530</v>
      </c>
      <c r="AH754" s="698">
        <v>0</v>
      </c>
      <c r="AI754" s="699">
        <f t="shared" si="1651"/>
        <v>4189530</v>
      </c>
      <c r="AJ754" s="698">
        <v>0</v>
      </c>
      <c r="AK754" s="698">
        <v>0</v>
      </c>
      <c r="AL754" s="698"/>
      <c r="AM754" s="699">
        <f t="shared" si="1629"/>
        <v>0</v>
      </c>
      <c r="AN754" s="698">
        <f>4189530*4</f>
        <v>16758120</v>
      </c>
      <c r="AO754" s="698">
        <v>0</v>
      </c>
      <c r="AP754" s="699">
        <f t="shared" si="1652"/>
        <v>16758120</v>
      </c>
      <c r="AQ754" s="706">
        <f t="shared" si="1630"/>
        <v>0</v>
      </c>
      <c r="AR754" s="443"/>
    </row>
    <row r="755" spans="2:44" s="444" customFormat="1" ht="31.9" customHeight="1">
      <c r="B755" s="694" t="s">
        <v>1335</v>
      </c>
      <c r="C755" s="697" t="s">
        <v>1403</v>
      </c>
      <c r="D755" s="423"/>
      <c r="E755" s="677" t="s">
        <v>1404</v>
      </c>
      <c r="F755" s="704" t="s">
        <v>1405</v>
      </c>
      <c r="G755" s="406">
        <v>2026</v>
      </c>
      <c r="H755" s="406">
        <v>2030</v>
      </c>
      <c r="I755" s="698">
        <v>0</v>
      </c>
      <c r="J755" s="698">
        <v>0</v>
      </c>
      <c r="K755" s="699">
        <f t="shared" si="1643"/>
        <v>0</v>
      </c>
      <c r="L755" s="698">
        <v>0</v>
      </c>
      <c r="M755" s="698">
        <v>0</v>
      </c>
      <c r="N755" s="699">
        <f t="shared" si="1644"/>
        <v>0</v>
      </c>
      <c r="O755" s="698">
        <v>960000</v>
      </c>
      <c r="P755" s="698">
        <v>0</v>
      </c>
      <c r="Q755" s="699">
        <f t="shared" si="1645"/>
        <v>960000</v>
      </c>
      <c r="R755" s="698">
        <v>960000</v>
      </c>
      <c r="S755" s="698">
        <v>0</v>
      </c>
      <c r="T755" s="699">
        <f t="shared" si="1646"/>
        <v>960000</v>
      </c>
      <c r="U755" s="698">
        <v>960000</v>
      </c>
      <c r="V755" s="698">
        <v>0</v>
      </c>
      <c r="W755" s="699">
        <f t="shared" si="1647"/>
        <v>960000</v>
      </c>
      <c r="X755" s="698">
        <v>960000</v>
      </c>
      <c r="Y755" s="698">
        <v>0</v>
      </c>
      <c r="Z755" s="699">
        <f t="shared" si="1648"/>
        <v>960000</v>
      </c>
      <c r="AA755" s="698">
        <v>960000</v>
      </c>
      <c r="AB755" s="698">
        <v>0</v>
      </c>
      <c r="AC755" s="699">
        <f t="shared" si="1649"/>
        <v>960000</v>
      </c>
      <c r="AD755" s="698">
        <f t="shared" si="1641"/>
        <v>4800000</v>
      </c>
      <c r="AE755" s="698">
        <v>0</v>
      </c>
      <c r="AF755" s="699">
        <f t="shared" si="1650"/>
        <v>4800000</v>
      </c>
      <c r="AG755" s="698">
        <v>0</v>
      </c>
      <c r="AH755" s="698">
        <v>0</v>
      </c>
      <c r="AI755" s="699">
        <f t="shared" si="1651"/>
        <v>0</v>
      </c>
      <c r="AJ755" s="698">
        <v>0</v>
      </c>
      <c r="AK755" s="698">
        <v>0</v>
      </c>
      <c r="AL755" s="698"/>
      <c r="AM755" s="699">
        <f t="shared" si="1629"/>
        <v>0</v>
      </c>
      <c r="AN755" s="698">
        <f>960000*4</f>
        <v>3840000</v>
      </c>
      <c r="AO755" s="698">
        <v>0</v>
      </c>
      <c r="AP755" s="699">
        <f t="shared" si="1652"/>
        <v>3840000</v>
      </c>
      <c r="AQ755" s="706">
        <f t="shared" si="1630"/>
        <v>-960000</v>
      </c>
      <c r="AR755" s="443"/>
    </row>
    <row r="756" spans="2:44" s="444" customFormat="1" ht="31.9" customHeight="1" thickBot="1">
      <c r="B756" s="438" t="s">
        <v>1392</v>
      </c>
      <c r="C756" s="287" t="s">
        <v>1408</v>
      </c>
      <c r="D756" s="287"/>
      <c r="E756" s="633" t="s">
        <v>69</v>
      </c>
      <c r="F756" s="633"/>
      <c r="G756" s="633">
        <v>2025</v>
      </c>
      <c r="H756" s="633">
        <v>2030</v>
      </c>
      <c r="I756" s="700">
        <f>SUM(I757:I758)</f>
        <v>0</v>
      </c>
      <c r="J756" s="700">
        <f>SUM(J757:J758)</f>
        <v>0</v>
      </c>
      <c r="K756" s="700">
        <f>I756+J756</f>
        <v>0</v>
      </c>
      <c r="L756" s="700">
        <f>SUM(L757:L758)</f>
        <v>4200000</v>
      </c>
      <c r="M756" s="700">
        <f>SUM(M757:M758)</f>
        <v>0</v>
      </c>
      <c r="N756" s="700">
        <f>L756+M756</f>
        <v>4200000</v>
      </c>
      <c r="O756" s="700">
        <f>SUM(O757:O758)</f>
        <v>4200000</v>
      </c>
      <c r="P756" s="700">
        <f>SUM(P757:P758)</f>
        <v>0</v>
      </c>
      <c r="Q756" s="700">
        <f>O756+P756</f>
        <v>4200000</v>
      </c>
      <c r="R756" s="700">
        <f>SUM(R757:R758)</f>
        <v>4200000</v>
      </c>
      <c r="S756" s="700">
        <f>SUM(S757:S758)</f>
        <v>0</v>
      </c>
      <c r="T756" s="700">
        <f>R756+S756</f>
        <v>4200000</v>
      </c>
      <c r="U756" s="700">
        <f>SUM(U757:U758)</f>
        <v>4200000</v>
      </c>
      <c r="V756" s="700">
        <f>SUM(V757:V758)</f>
        <v>0</v>
      </c>
      <c r="W756" s="700">
        <f>U756+V756</f>
        <v>4200000</v>
      </c>
      <c r="X756" s="700">
        <f>SUM(X757:X758)</f>
        <v>4200000</v>
      </c>
      <c r="Y756" s="700">
        <f>SUM(Y757:Y758)</f>
        <v>0</v>
      </c>
      <c r="Z756" s="700">
        <f>SUM(Z757:Z758)</f>
        <v>4200000</v>
      </c>
      <c r="AA756" s="700">
        <f>SUM(AA757:AA758)</f>
        <v>4200000</v>
      </c>
      <c r="AB756" s="700">
        <f>SUM(AB757:AB758)</f>
        <v>0</v>
      </c>
      <c r="AC756" s="700">
        <f>SUM(AA756:AB756)</f>
        <v>4200000</v>
      </c>
      <c r="AD756" s="700">
        <f t="shared" ref="AD756:AD758" si="1653">I756+L756+O756+R756+U756+X756+AA756</f>
        <v>25200000</v>
      </c>
      <c r="AE756" s="700">
        <f t="shared" ref="AE756:AE757" si="1654">J756+M756+P756+S756+V756+Y756+AB756</f>
        <v>0</v>
      </c>
      <c r="AF756" s="700">
        <f>AD756+AE756</f>
        <v>25200000</v>
      </c>
      <c r="AG756" s="700">
        <f>SUM(AG757:AG758)</f>
        <v>4200000</v>
      </c>
      <c r="AH756" s="700">
        <f>SUM(AH757:AH758)</f>
        <v>0</v>
      </c>
      <c r="AI756" s="700">
        <f>AG756+AH756</f>
        <v>4200000</v>
      </c>
      <c r="AJ756" s="700">
        <f>SUM(AJ757:AJ758)</f>
        <v>0</v>
      </c>
      <c r="AK756" s="700">
        <f>SUM(AK757:AK758)</f>
        <v>0</v>
      </c>
      <c r="AL756" s="700"/>
      <c r="AM756" s="700">
        <f t="shared" si="1629"/>
        <v>0</v>
      </c>
      <c r="AN756" s="700">
        <f>SUM(AN757:AN758)</f>
        <v>16800000</v>
      </c>
      <c r="AO756" s="700">
        <f>SUM(AO757:AO758)</f>
        <v>0</v>
      </c>
      <c r="AP756" s="700">
        <f>AN756+AO756</f>
        <v>16800000</v>
      </c>
      <c r="AQ756" s="705">
        <f t="shared" si="1630"/>
        <v>-4200000</v>
      </c>
      <c r="AR756" s="443"/>
    </row>
    <row r="757" spans="2:44" s="444" customFormat="1" ht="31.9" customHeight="1">
      <c r="B757" s="694" t="s">
        <v>1406</v>
      </c>
      <c r="C757" s="665" t="s">
        <v>1409</v>
      </c>
      <c r="D757" s="423"/>
      <c r="E757" s="701" t="s">
        <v>69</v>
      </c>
      <c r="F757" s="701"/>
      <c r="G757" s="406">
        <v>2025</v>
      </c>
      <c r="H757" s="406">
        <v>2030</v>
      </c>
      <c r="I757" s="698">
        <v>0</v>
      </c>
      <c r="J757" s="698">
        <v>0</v>
      </c>
      <c r="K757" s="699">
        <f t="shared" ref="K757:K758" si="1655">SUM(I757:J757)</f>
        <v>0</v>
      </c>
      <c r="L757" s="698">
        <v>1800000</v>
      </c>
      <c r="M757" s="698">
        <v>0</v>
      </c>
      <c r="N757" s="699">
        <f t="shared" ref="N757:N758" si="1656">SUM(L757:M757)</f>
        <v>1800000</v>
      </c>
      <c r="O757" s="698">
        <v>1800000</v>
      </c>
      <c r="P757" s="698">
        <v>0</v>
      </c>
      <c r="Q757" s="699">
        <f t="shared" ref="Q757:Q758" si="1657">SUM(O757:P757)</f>
        <v>1800000</v>
      </c>
      <c r="R757" s="698">
        <v>1800000</v>
      </c>
      <c r="S757" s="698">
        <v>0</v>
      </c>
      <c r="T757" s="699">
        <f t="shared" ref="T757:T758" si="1658">SUM(R757:S757)</f>
        <v>1800000</v>
      </c>
      <c r="U757" s="698">
        <v>1800000</v>
      </c>
      <c r="V757" s="698">
        <v>0</v>
      </c>
      <c r="W757" s="699">
        <f t="shared" ref="W757:W758" si="1659">SUM(U757:V757)</f>
        <v>1800000</v>
      </c>
      <c r="X757" s="698">
        <v>1800000</v>
      </c>
      <c r="Y757" s="698">
        <v>0</v>
      </c>
      <c r="Z757" s="699">
        <f t="shared" ref="Z757:Z758" si="1660">SUM(X757:Y757)</f>
        <v>1800000</v>
      </c>
      <c r="AA757" s="698">
        <v>1800000</v>
      </c>
      <c r="AB757" s="698">
        <v>0</v>
      </c>
      <c r="AC757" s="699">
        <f t="shared" ref="AC757:AC758" si="1661">SUM(AA757:AB757)</f>
        <v>1800000</v>
      </c>
      <c r="AD757" s="698">
        <f t="shared" si="1653"/>
        <v>10800000</v>
      </c>
      <c r="AE757" s="698">
        <f t="shared" si="1654"/>
        <v>0</v>
      </c>
      <c r="AF757" s="699">
        <f t="shared" ref="AF757:AF758" si="1662">AD757+AE757</f>
        <v>10800000</v>
      </c>
      <c r="AG757" s="698">
        <f>1800000*1</f>
        <v>1800000</v>
      </c>
      <c r="AH757" s="698">
        <v>0</v>
      </c>
      <c r="AI757" s="699">
        <f t="shared" ref="AI757:AI758" si="1663">SUM(AG757:AH757)</f>
        <v>1800000</v>
      </c>
      <c r="AJ757" s="698">
        <v>0</v>
      </c>
      <c r="AK757" s="698">
        <v>0</v>
      </c>
      <c r="AL757" s="698"/>
      <c r="AM757" s="699">
        <f t="shared" si="1629"/>
        <v>0</v>
      </c>
      <c r="AN757" s="698">
        <f>1800000*4</f>
        <v>7200000</v>
      </c>
      <c r="AO757" s="698">
        <v>0</v>
      </c>
      <c r="AP757" s="699">
        <f t="shared" ref="AP757:AP758" si="1664">SUM(AN757:AO757)</f>
        <v>7200000</v>
      </c>
      <c r="AQ757" s="706">
        <f t="shared" si="1630"/>
        <v>-1800000</v>
      </c>
      <c r="AR757" s="443"/>
    </row>
    <row r="758" spans="2:44" s="444" customFormat="1" ht="31.9" customHeight="1">
      <c r="B758" s="694" t="s">
        <v>1407</v>
      </c>
      <c r="C758" s="681" t="s">
        <v>1410</v>
      </c>
      <c r="D758" s="423"/>
      <c r="E758" s="701" t="s">
        <v>69</v>
      </c>
      <c r="F758" s="701"/>
      <c r="G758" s="406">
        <v>2025</v>
      </c>
      <c r="H758" s="406">
        <v>2030</v>
      </c>
      <c r="I758" s="698">
        <v>0</v>
      </c>
      <c r="J758" s="698">
        <v>0</v>
      </c>
      <c r="K758" s="699">
        <f t="shared" si="1655"/>
        <v>0</v>
      </c>
      <c r="L758" s="698">
        <v>2400000</v>
      </c>
      <c r="M758" s="698">
        <v>0</v>
      </c>
      <c r="N758" s="699">
        <f t="shared" si="1656"/>
        <v>2400000</v>
      </c>
      <c r="O758" s="698">
        <v>2400000</v>
      </c>
      <c r="P758" s="698">
        <v>0</v>
      </c>
      <c r="Q758" s="699">
        <f t="shared" si="1657"/>
        <v>2400000</v>
      </c>
      <c r="R758" s="698">
        <v>2400000</v>
      </c>
      <c r="S758" s="698">
        <v>0</v>
      </c>
      <c r="T758" s="699">
        <f t="shared" si="1658"/>
        <v>2400000</v>
      </c>
      <c r="U758" s="698">
        <v>2400000</v>
      </c>
      <c r="V758" s="698">
        <v>0</v>
      </c>
      <c r="W758" s="699">
        <f t="shared" si="1659"/>
        <v>2400000</v>
      </c>
      <c r="X758" s="698">
        <v>2400000</v>
      </c>
      <c r="Y758" s="698">
        <v>0</v>
      </c>
      <c r="Z758" s="699">
        <f t="shared" si="1660"/>
        <v>2400000</v>
      </c>
      <c r="AA758" s="698">
        <v>2400000</v>
      </c>
      <c r="AB758" s="698">
        <v>0</v>
      </c>
      <c r="AC758" s="699">
        <f t="shared" si="1661"/>
        <v>2400000</v>
      </c>
      <c r="AD758" s="698">
        <f t="shared" si="1653"/>
        <v>14400000</v>
      </c>
      <c r="AE758" s="698">
        <v>0</v>
      </c>
      <c r="AF758" s="699">
        <f t="shared" si="1662"/>
        <v>14400000</v>
      </c>
      <c r="AG758" s="698">
        <f>2400000*1</f>
        <v>2400000</v>
      </c>
      <c r="AH758" s="698">
        <v>0</v>
      </c>
      <c r="AI758" s="699">
        <f t="shared" si="1663"/>
        <v>2400000</v>
      </c>
      <c r="AJ758" s="698">
        <v>0</v>
      </c>
      <c r="AK758" s="698">
        <v>0</v>
      </c>
      <c r="AL758" s="698"/>
      <c r="AM758" s="699">
        <f t="shared" si="1629"/>
        <v>0</v>
      </c>
      <c r="AN758" s="698">
        <f>2400000*4</f>
        <v>9600000</v>
      </c>
      <c r="AO758" s="698"/>
      <c r="AP758" s="699">
        <f t="shared" si="1664"/>
        <v>9600000</v>
      </c>
      <c r="AQ758" s="706">
        <f t="shared" si="1630"/>
        <v>-2400000</v>
      </c>
      <c r="AR758" s="443"/>
    </row>
    <row r="759" spans="2:44" s="444" customFormat="1" ht="31.9" customHeight="1" thickBot="1">
      <c r="B759" s="438" t="s">
        <v>1325</v>
      </c>
      <c r="C759" s="287" t="s">
        <v>1411</v>
      </c>
      <c r="D759" s="287"/>
      <c r="E759" s="633" t="s">
        <v>69</v>
      </c>
      <c r="F759" s="633"/>
      <c r="G759" s="633">
        <v>2024</v>
      </c>
      <c r="H759" s="633">
        <v>2030</v>
      </c>
      <c r="I759" s="700">
        <f>SUM(I760:I762)</f>
        <v>4200000</v>
      </c>
      <c r="J759" s="700">
        <f>SUM(J760:J762)</f>
        <v>0</v>
      </c>
      <c r="K759" s="700">
        <f>I759+J759</f>
        <v>4200000</v>
      </c>
      <c r="L759" s="700">
        <f>SUM(L760:L762)</f>
        <v>4200000</v>
      </c>
      <c r="M759" s="700">
        <f>SUM(M760:M762)</f>
        <v>0</v>
      </c>
      <c r="N759" s="700">
        <f>L759+M759</f>
        <v>4200000</v>
      </c>
      <c r="O759" s="700">
        <f>SUM(O760:O762)</f>
        <v>4200000</v>
      </c>
      <c r="P759" s="700">
        <f>SUM(P760:P762)</f>
        <v>0</v>
      </c>
      <c r="Q759" s="700">
        <f>O759+P759</f>
        <v>4200000</v>
      </c>
      <c r="R759" s="700">
        <f>SUM(R760:R762)</f>
        <v>4200000</v>
      </c>
      <c r="S759" s="700">
        <f>SUM(S760:S762)</f>
        <v>0</v>
      </c>
      <c r="T759" s="700">
        <f>R759+S759</f>
        <v>4200000</v>
      </c>
      <c r="U759" s="700">
        <f>SUM(U760:U762)</f>
        <v>4200000</v>
      </c>
      <c r="V759" s="700">
        <f>SUM(V760:V762)</f>
        <v>0</v>
      </c>
      <c r="W759" s="700">
        <f>U759+V759</f>
        <v>4200000</v>
      </c>
      <c r="X759" s="700">
        <f>SUM(X760:X762)</f>
        <v>4200000</v>
      </c>
      <c r="Y759" s="700">
        <f>SUM(Y760:Y762)</f>
        <v>0</v>
      </c>
      <c r="Z759" s="700">
        <f>SUM(X759:Y759)</f>
        <v>4200000</v>
      </c>
      <c r="AA759" s="700">
        <f>SUM(AA760:AA762)</f>
        <v>4200000</v>
      </c>
      <c r="AB759" s="700">
        <f>SUM(AB760:AB762)</f>
        <v>0</v>
      </c>
      <c r="AC759" s="700">
        <f>SUM(AA759:AB759)</f>
        <v>4200000</v>
      </c>
      <c r="AD759" s="700">
        <f t="shared" ref="AD759:AD762" si="1665">I759+L759+O759+R759+U759+X759+AA759</f>
        <v>29400000</v>
      </c>
      <c r="AE759" s="700">
        <f t="shared" ref="AE759:AE762" si="1666">J759+M759+P759+S759+V759+Y759+AB759</f>
        <v>0</v>
      </c>
      <c r="AF759" s="700">
        <f>AD759+AE759</f>
        <v>29400000</v>
      </c>
      <c r="AG759" s="700">
        <f>SUM(AG760:AG762)</f>
        <v>4200000</v>
      </c>
      <c r="AH759" s="700">
        <f>SUM(AH760:AH762)</f>
        <v>0</v>
      </c>
      <c r="AI759" s="700">
        <f>AG759+AH759</f>
        <v>4200000</v>
      </c>
      <c r="AJ759" s="700">
        <f>SUM(AJ760:AJ762)</f>
        <v>0</v>
      </c>
      <c r="AK759" s="700">
        <f>SUM(AK760:AK762)</f>
        <v>0</v>
      </c>
      <c r="AL759" s="700"/>
      <c r="AM759" s="700">
        <f t="shared" si="1629"/>
        <v>0</v>
      </c>
      <c r="AN759" s="700">
        <f>SUM(AN760:AN762)</f>
        <v>16800000</v>
      </c>
      <c r="AO759" s="700">
        <f>SUM(AO760:AO762)</f>
        <v>0</v>
      </c>
      <c r="AP759" s="700">
        <f>AN759+AO759</f>
        <v>16800000</v>
      </c>
      <c r="AQ759" s="705">
        <f t="shared" ref="AQ759:AQ762" si="1667">SUM(AP759+AM759+AI759)-AF759</f>
        <v>-8400000</v>
      </c>
      <c r="AR759" s="443"/>
    </row>
    <row r="760" spans="2:44" s="444" customFormat="1" ht="31.9" customHeight="1">
      <c r="B760" s="694" t="s">
        <v>1393</v>
      </c>
      <c r="C760" s="665" t="s">
        <v>1412</v>
      </c>
      <c r="D760" s="423"/>
      <c r="E760" s="701" t="s">
        <v>69</v>
      </c>
      <c r="F760" s="701"/>
      <c r="G760" s="406">
        <v>2024</v>
      </c>
      <c r="H760" s="406">
        <v>2030</v>
      </c>
      <c r="I760" s="698">
        <v>2400000</v>
      </c>
      <c r="J760" s="698">
        <v>0</v>
      </c>
      <c r="K760" s="699">
        <f t="shared" ref="K760:K762" si="1668">SUM(I760:J760)</f>
        <v>2400000</v>
      </c>
      <c r="L760" s="698">
        <v>2400000</v>
      </c>
      <c r="M760" s="698">
        <v>0</v>
      </c>
      <c r="N760" s="699">
        <f t="shared" ref="N760:N762" si="1669">SUM(L760:M760)</f>
        <v>2400000</v>
      </c>
      <c r="O760" s="698">
        <v>2400000</v>
      </c>
      <c r="P760" s="698">
        <v>0</v>
      </c>
      <c r="Q760" s="699">
        <f t="shared" ref="Q760:Q762" si="1670">SUM(O760:P760)</f>
        <v>2400000</v>
      </c>
      <c r="R760" s="698">
        <v>2400000</v>
      </c>
      <c r="S760" s="698">
        <v>0</v>
      </c>
      <c r="T760" s="699">
        <f t="shared" ref="T760:T762" si="1671">SUM(R760:S760)</f>
        <v>2400000</v>
      </c>
      <c r="U760" s="698">
        <v>2400000</v>
      </c>
      <c r="V760" s="698">
        <v>0</v>
      </c>
      <c r="W760" s="699">
        <f t="shared" ref="W760:W762" si="1672">SUM(U760:V760)</f>
        <v>2400000</v>
      </c>
      <c r="X760" s="698">
        <v>2400000</v>
      </c>
      <c r="Y760" s="698">
        <v>0</v>
      </c>
      <c r="Z760" s="699">
        <f t="shared" ref="Z760:Z762" si="1673">SUM(X760:Y760)</f>
        <v>2400000</v>
      </c>
      <c r="AA760" s="698">
        <v>2400000</v>
      </c>
      <c r="AB760" s="698">
        <v>0</v>
      </c>
      <c r="AC760" s="699">
        <f t="shared" ref="AC760:AC762" si="1674">SUM(AA760:AB760)</f>
        <v>2400000</v>
      </c>
      <c r="AD760" s="698">
        <f t="shared" si="1665"/>
        <v>16800000</v>
      </c>
      <c r="AE760" s="698">
        <f t="shared" si="1666"/>
        <v>0</v>
      </c>
      <c r="AF760" s="699">
        <f t="shared" ref="AF760:AF762" si="1675">AD760+AE760</f>
        <v>16800000</v>
      </c>
      <c r="AG760" s="698">
        <f>2400000*1</f>
        <v>2400000</v>
      </c>
      <c r="AH760" s="698">
        <v>0</v>
      </c>
      <c r="AI760" s="699">
        <f t="shared" ref="AI760:AI762" si="1676">SUM(AG760:AH760)</f>
        <v>2400000</v>
      </c>
      <c r="AJ760" s="698">
        <v>0</v>
      </c>
      <c r="AK760" s="698">
        <v>0</v>
      </c>
      <c r="AL760" s="698"/>
      <c r="AM760" s="699">
        <f t="shared" si="1629"/>
        <v>0</v>
      </c>
      <c r="AN760" s="698">
        <f>2400000*4</f>
        <v>9600000</v>
      </c>
      <c r="AO760" s="698">
        <v>0</v>
      </c>
      <c r="AP760" s="699">
        <f t="shared" ref="AP760:AP762" si="1677">SUM(AN760:AO760)</f>
        <v>9600000</v>
      </c>
      <c r="AQ760" s="706">
        <f t="shared" si="1667"/>
        <v>-4800000</v>
      </c>
      <c r="AR760" s="443"/>
    </row>
    <row r="761" spans="2:44" s="444" customFormat="1" ht="31.9" customHeight="1">
      <c r="B761" s="694" t="s">
        <v>1394</v>
      </c>
      <c r="C761" s="666" t="s">
        <v>1413</v>
      </c>
      <c r="D761" s="423"/>
      <c r="E761" s="701" t="s">
        <v>69</v>
      </c>
      <c r="F761" s="701"/>
      <c r="G761" s="406">
        <v>2024</v>
      </c>
      <c r="H761" s="406">
        <v>2030</v>
      </c>
      <c r="I761" s="698">
        <v>1800000</v>
      </c>
      <c r="J761" s="698">
        <v>0</v>
      </c>
      <c r="K761" s="699">
        <f t="shared" si="1668"/>
        <v>1800000</v>
      </c>
      <c r="L761" s="698">
        <v>1800000</v>
      </c>
      <c r="M761" s="698">
        <v>0</v>
      </c>
      <c r="N761" s="699">
        <f t="shared" si="1669"/>
        <v>1800000</v>
      </c>
      <c r="O761" s="698">
        <v>1800000</v>
      </c>
      <c r="P761" s="698">
        <v>0</v>
      </c>
      <c r="Q761" s="699">
        <f t="shared" si="1670"/>
        <v>1800000</v>
      </c>
      <c r="R761" s="698">
        <v>1800000</v>
      </c>
      <c r="S761" s="698">
        <v>0</v>
      </c>
      <c r="T761" s="699">
        <f t="shared" si="1671"/>
        <v>1800000</v>
      </c>
      <c r="U761" s="698">
        <v>1800000</v>
      </c>
      <c r="V761" s="698">
        <v>0</v>
      </c>
      <c r="W761" s="699">
        <f t="shared" si="1672"/>
        <v>1800000</v>
      </c>
      <c r="X761" s="698">
        <v>1800000</v>
      </c>
      <c r="Y761" s="698">
        <v>0</v>
      </c>
      <c r="Z761" s="699">
        <f t="shared" si="1673"/>
        <v>1800000</v>
      </c>
      <c r="AA761" s="698">
        <v>1800000</v>
      </c>
      <c r="AB761" s="698">
        <v>0</v>
      </c>
      <c r="AC761" s="699">
        <f t="shared" si="1674"/>
        <v>1800000</v>
      </c>
      <c r="AD761" s="698">
        <f t="shared" si="1665"/>
        <v>12600000</v>
      </c>
      <c r="AE761" s="698">
        <f t="shared" si="1666"/>
        <v>0</v>
      </c>
      <c r="AF761" s="699">
        <f t="shared" si="1675"/>
        <v>12600000</v>
      </c>
      <c r="AG761" s="698">
        <f>1800000*1</f>
        <v>1800000</v>
      </c>
      <c r="AH761" s="698">
        <v>0</v>
      </c>
      <c r="AI761" s="699">
        <f t="shared" si="1676"/>
        <v>1800000</v>
      </c>
      <c r="AJ761" s="698">
        <v>0</v>
      </c>
      <c r="AK761" s="698">
        <v>0</v>
      </c>
      <c r="AL761" s="698"/>
      <c r="AM761" s="699">
        <f t="shared" si="1629"/>
        <v>0</v>
      </c>
      <c r="AN761" s="698">
        <f>1800000*4</f>
        <v>7200000</v>
      </c>
      <c r="AO761" s="698">
        <v>0</v>
      </c>
      <c r="AP761" s="699">
        <f t="shared" si="1677"/>
        <v>7200000</v>
      </c>
      <c r="AQ761" s="706">
        <f t="shared" si="1667"/>
        <v>-3600000</v>
      </c>
      <c r="AR761" s="443"/>
    </row>
    <row r="762" spans="2:44" s="444" customFormat="1" ht="31.9" customHeight="1" thickBot="1">
      <c r="B762" s="694" t="s">
        <v>1395</v>
      </c>
      <c r="C762" s="667" t="s">
        <v>1414</v>
      </c>
      <c r="D762" s="423"/>
      <c r="E762" s="701" t="s">
        <v>69</v>
      </c>
      <c r="F762" s="701"/>
      <c r="G762" s="406">
        <v>2024</v>
      </c>
      <c r="H762" s="406">
        <v>2030</v>
      </c>
      <c r="I762" s="698">
        <v>0</v>
      </c>
      <c r="J762" s="698">
        <v>0</v>
      </c>
      <c r="K762" s="699">
        <f t="shared" si="1668"/>
        <v>0</v>
      </c>
      <c r="L762" s="698">
        <v>0</v>
      </c>
      <c r="M762" s="698">
        <v>0</v>
      </c>
      <c r="N762" s="699">
        <f t="shared" si="1669"/>
        <v>0</v>
      </c>
      <c r="O762" s="698">
        <v>0</v>
      </c>
      <c r="P762" s="698">
        <v>0</v>
      </c>
      <c r="Q762" s="699">
        <f t="shared" si="1670"/>
        <v>0</v>
      </c>
      <c r="R762" s="698">
        <v>0</v>
      </c>
      <c r="S762" s="698">
        <v>0</v>
      </c>
      <c r="T762" s="699">
        <f t="shared" si="1671"/>
        <v>0</v>
      </c>
      <c r="U762" s="698">
        <v>0</v>
      </c>
      <c r="V762" s="698">
        <v>0</v>
      </c>
      <c r="W762" s="699">
        <f t="shared" si="1672"/>
        <v>0</v>
      </c>
      <c r="X762" s="698">
        <v>0</v>
      </c>
      <c r="Y762" s="698">
        <v>0</v>
      </c>
      <c r="Z762" s="699">
        <f t="shared" si="1673"/>
        <v>0</v>
      </c>
      <c r="AA762" s="698">
        <v>0</v>
      </c>
      <c r="AB762" s="698">
        <v>0</v>
      </c>
      <c r="AC762" s="699">
        <f t="shared" si="1674"/>
        <v>0</v>
      </c>
      <c r="AD762" s="698">
        <f t="shared" si="1665"/>
        <v>0</v>
      </c>
      <c r="AE762" s="698">
        <f t="shared" si="1666"/>
        <v>0</v>
      </c>
      <c r="AF762" s="699">
        <f t="shared" si="1675"/>
        <v>0</v>
      </c>
      <c r="AG762" s="698">
        <v>0</v>
      </c>
      <c r="AH762" s="698">
        <v>0</v>
      </c>
      <c r="AI762" s="699">
        <f t="shared" si="1676"/>
        <v>0</v>
      </c>
      <c r="AJ762" s="698">
        <v>0</v>
      </c>
      <c r="AK762" s="698">
        <v>0</v>
      </c>
      <c r="AL762" s="698"/>
      <c r="AM762" s="699">
        <f t="shared" si="1629"/>
        <v>0</v>
      </c>
      <c r="AN762" s="698">
        <v>0</v>
      </c>
      <c r="AO762" s="698">
        <v>0</v>
      </c>
      <c r="AP762" s="699">
        <f t="shared" si="1677"/>
        <v>0</v>
      </c>
      <c r="AQ762" s="706">
        <f t="shared" si="1667"/>
        <v>0</v>
      </c>
      <c r="AR762" s="443"/>
    </row>
    <row r="763" spans="2:44" s="614" customFormat="1" ht="31.9" customHeight="1">
      <c r="B763" s="438"/>
      <c r="C763" s="237" t="s">
        <v>1385</v>
      </c>
      <c r="D763" s="237"/>
      <c r="E763" s="616"/>
      <c r="F763" s="616"/>
      <c r="G763" s="616"/>
      <c r="H763" s="616"/>
      <c r="I763" s="484">
        <f>SUM(I747,I752,I756,I759)</f>
        <v>10380000</v>
      </c>
      <c r="J763" s="484">
        <f>SUM(J747,J752,J756,J759)</f>
        <v>0</v>
      </c>
      <c r="K763" s="484">
        <f>SUM(K747,K752,K756,K759)</f>
        <v>10380000</v>
      </c>
      <c r="L763" s="484">
        <f t="shared" ref="L763:AQ763" si="1678">SUM(L747,L752,L756,L759)</f>
        <v>14580000</v>
      </c>
      <c r="M763" s="484">
        <f t="shared" si="1678"/>
        <v>0</v>
      </c>
      <c r="N763" s="484">
        <f t="shared" si="1678"/>
        <v>14580000</v>
      </c>
      <c r="O763" s="484">
        <f t="shared" si="1678"/>
        <v>30596634</v>
      </c>
      <c r="P763" s="484">
        <f t="shared" si="1678"/>
        <v>0</v>
      </c>
      <c r="Q763" s="484">
        <f t="shared" si="1678"/>
        <v>30596634</v>
      </c>
      <c r="R763" s="484">
        <f t="shared" si="1678"/>
        <v>30596634</v>
      </c>
      <c r="S763" s="484">
        <f t="shared" si="1678"/>
        <v>0</v>
      </c>
      <c r="T763" s="484">
        <f t="shared" si="1678"/>
        <v>30596634</v>
      </c>
      <c r="U763" s="484">
        <f t="shared" si="1678"/>
        <v>30596634</v>
      </c>
      <c r="V763" s="484">
        <f t="shared" si="1678"/>
        <v>0</v>
      </c>
      <c r="W763" s="484">
        <f t="shared" si="1678"/>
        <v>30596634</v>
      </c>
      <c r="X763" s="484">
        <f t="shared" si="1678"/>
        <v>30596634</v>
      </c>
      <c r="Y763" s="484">
        <f t="shared" si="1678"/>
        <v>0</v>
      </c>
      <c r="Z763" s="484">
        <f t="shared" si="1678"/>
        <v>30596634</v>
      </c>
      <c r="AA763" s="484">
        <f t="shared" si="1678"/>
        <v>30596634</v>
      </c>
      <c r="AB763" s="484">
        <f t="shared" si="1678"/>
        <v>0</v>
      </c>
      <c r="AC763" s="484">
        <f t="shared" si="1678"/>
        <v>30596634</v>
      </c>
      <c r="AD763" s="484">
        <f t="shared" si="1678"/>
        <v>177943170</v>
      </c>
      <c r="AE763" s="484">
        <f t="shared" si="1678"/>
        <v>0</v>
      </c>
      <c r="AF763" s="484">
        <f t="shared" si="1678"/>
        <v>177943170</v>
      </c>
      <c r="AG763" s="484">
        <f t="shared" si="1678"/>
        <v>32736634</v>
      </c>
      <c r="AH763" s="484">
        <f t="shared" si="1678"/>
        <v>0</v>
      </c>
      <c r="AI763" s="484">
        <f t="shared" si="1678"/>
        <v>32736634</v>
      </c>
      <c r="AJ763" s="484">
        <f t="shared" si="1678"/>
        <v>0</v>
      </c>
      <c r="AK763" s="484">
        <f t="shared" si="1678"/>
        <v>0</v>
      </c>
      <c r="AL763" s="484">
        <f t="shared" si="1678"/>
        <v>0</v>
      </c>
      <c r="AM763" s="484">
        <f t="shared" si="1678"/>
        <v>0</v>
      </c>
      <c r="AN763" s="484">
        <f t="shared" si="1678"/>
        <v>122386536</v>
      </c>
      <c r="AO763" s="484">
        <f t="shared" si="1678"/>
        <v>0</v>
      </c>
      <c r="AP763" s="484">
        <f t="shared" si="1678"/>
        <v>122386536</v>
      </c>
      <c r="AQ763" s="591">
        <f t="shared" si="1678"/>
        <v>-22820000</v>
      </c>
      <c r="AR763" s="615" t="e">
        <f>SUM(AR668,AR673,AR679,AR682,AR688,AR690,AR696,AR701,AR704,AR707,AR712,AR719,AR723,#REF!)</f>
        <v>#REF!</v>
      </c>
    </row>
    <row r="764" spans="2:44" s="614" customFormat="1" ht="31.9" customHeight="1">
      <c r="B764" s="206"/>
      <c r="C764" s="237" t="s">
        <v>1311</v>
      </c>
      <c r="D764" s="237"/>
      <c r="E764" s="616"/>
      <c r="F764" s="616"/>
      <c r="G764" s="616"/>
      <c r="H764" s="616"/>
      <c r="I764" s="484">
        <f t="shared" ref="I764:AK764" si="1679">SUM(I709,I744,I763)</f>
        <v>24201225</v>
      </c>
      <c r="J764" s="484">
        <f t="shared" si="1679"/>
        <v>0</v>
      </c>
      <c r="K764" s="484">
        <f t="shared" si="1679"/>
        <v>24201225</v>
      </c>
      <c r="L764" s="484">
        <f t="shared" si="1679"/>
        <v>43693495</v>
      </c>
      <c r="M764" s="484">
        <f t="shared" si="1679"/>
        <v>0</v>
      </c>
      <c r="N764" s="484">
        <f t="shared" si="1679"/>
        <v>43693495</v>
      </c>
      <c r="O764" s="484">
        <f t="shared" si="1679"/>
        <v>56772547</v>
      </c>
      <c r="P764" s="484">
        <f t="shared" si="1679"/>
        <v>0</v>
      </c>
      <c r="Q764" s="484">
        <f t="shared" si="1679"/>
        <v>56772547</v>
      </c>
      <c r="R764" s="484">
        <f t="shared" si="1679"/>
        <v>55812547</v>
      </c>
      <c r="S764" s="484">
        <f t="shared" si="1679"/>
        <v>0</v>
      </c>
      <c r="T764" s="484">
        <f t="shared" si="1679"/>
        <v>55812547</v>
      </c>
      <c r="U764" s="484">
        <f t="shared" si="1679"/>
        <v>53412547</v>
      </c>
      <c r="V764" s="484">
        <f t="shared" si="1679"/>
        <v>0</v>
      </c>
      <c r="W764" s="484">
        <f t="shared" si="1679"/>
        <v>53412547</v>
      </c>
      <c r="X764" s="484">
        <f t="shared" si="1679"/>
        <v>53412547</v>
      </c>
      <c r="Y764" s="484">
        <f t="shared" si="1679"/>
        <v>0</v>
      </c>
      <c r="Z764" s="484">
        <f t="shared" si="1679"/>
        <v>53412547</v>
      </c>
      <c r="AA764" s="484">
        <f t="shared" si="1679"/>
        <v>53412547</v>
      </c>
      <c r="AB764" s="484">
        <f t="shared" si="1679"/>
        <v>0</v>
      </c>
      <c r="AC764" s="484">
        <f t="shared" si="1679"/>
        <v>53412547</v>
      </c>
      <c r="AD764" s="484">
        <f t="shared" si="1679"/>
        <v>340717455</v>
      </c>
      <c r="AE764" s="484">
        <f t="shared" si="1679"/>
        <v>0</v>
      </c>
      <c r="AF764" s="484">
        <f t="shared" si="1679"/>
        <v>340717455</v>
      </c>
      <c r="AG764" s="484">
        <f t="shared" si="1679"/>
        <v>75627267</v>
      </c>
      <c r="AH764" s="484">
        <f t="shared" si="1679"/>
        <v>0</v>
      </c>
      <c r="AI764" s="484">
        <f t="shared" si="1679"/>
        <v>75627267</v>
      </c>
      <c r="AJ764" s="484">
        <f t="shared" si="1679"/>
        <v>0</v>
      </c>
      <c r="AK764" s="484">
        <f t="shared" si="1679"/>
        <v>0</v>
      </c>
      <c r="AL764" s="484"/>
      <c r="AM764" s="484">
        <f>SUM(AM709,AM744,AM763)</f>
        <v>0</v>
      </c>
      <c r="AN764" s="484">
        <f>SUM(AN709,AN744,AN763)</f>
        <v>209330188</v>
      </c>
      <c r="AO764" s="484">
        <f>SUM(AO709,AO744,AO763)</f>
        <v>0</v>
      </c>
      <c r="AP764" s="484">
        <f>SUM(AP709,AP744,AP763)</f>
        <v>209330188</v>
      </c>
      <c r="AQ764" s="591">
        <f>SUM(AQ709,AQ744,AQ763)</f>
        <v>-55760000</v>
      </c>
      <c r="AR764" s="615"/>
    </row>
    <row r="765" spans="2:44" ht="53.45" customHeight="1">
      <c r="B765" s="616"/>
      <c r="C765" s="707" t="s">
        <v>1415</v>
      </c>
      <c r="D765" s="708"/>
      <c r="E765" s="616"/>
      <c r="F765" s="616"/>
      <c r="G765" s="616"/>
      <c r="H765" s="616"/>
      <c r="I765" s="484">
        <f t="shared" ref="I765:AK765" si="1680">SUM(I180,I281,I540,I642,I764)</f>
        <v>302563263</v>
      </c>
      <c r="J765" s="484">
        <f t="shared" si="1680"/>
        <v>470875000</v>
      </c>
      <c r="K765" s="484">
        <f t="shared" si="1680"/>
        <v>768004713</v>
      </c>
      <c r="L765" s="484">
        <f t="shared" si="1680"/>
        <v>509313207.19999999</v>
      </c>
      <c r="M765" s="484">
        <f t="shared" si="1680"/>
        <v>811876000</v>
      </c>
      <c r="N765" s="484">
        <f t="shared" si="1680"/>
        <v>1321189207.2</v>
      </c>
      <c r="O765" s="484">
        <f t="shared" si="1680"/>
        <v>413213159</v>
      </c>
      <c r="P765" s="484">
        <f t="shared" si="1680"/>
        <v>612500000</v>
      </c>
      <c r="Q765" s="484">
        <f t="shared" si="1680"/>
        <v>1025713159</v>
      </c>
      <c r="R765" s="484">
        <f t="shared" si="1680"/>
        <v>325070039</v>
      </c>
      <c r="S765" s="484">
        <f t="shared" si="1680"/>
        <v>87750000</v>
      </c>
      <c r="T765" s="484">
        <f t="shared" si="1680"/>
        <v>419478619</v>
      </c>
      <c r="U765" s="484">
        <f t="shared" si="1680"/>
        <v>322105504.76800001</v>
      </c>
      <c r="V765" s="484">
        <f t="shared" si="1680"/>
        <v>0</v>
      </c>
      <c r="W765" s="484">
        <f t="shared" si="1680"/>
        <v>322296434</v>
      </c>
      <c r="X765" s="484">
        <f t="shared" si="1680"/>
        <v>307891849</v>
      </c>
      <c r="Y765" s="484">
        <f t="shared" si="1680"/>
        <v>0</v>
      </c>
      <c r="Z765" s="484">
        <f t="shared" si="1680"/>
        <v>307891849</v>
      </c>
      <c r="AA765" s="484">
        <f t="shared" si="1680"/>
        <v>304500019</v>
      </c>
      <c r="AB765" s="484">
        <f t="shared" si="1680"/>
        <v>0</v>
      </c>
      <c r="AC765" s="484">
        <f t="shared" si="1680"/>
        <v>304500019</v>
      </c>
      <c r="AD765" s="484">
        <f t="shared" si="1680"/>
        <v>2484847970.1999998</v>
      </c>
      <c r="AE765" s="484">
        <f t="shared" si="1680"/>
        <v>1983001000</v>
      </c>
      <c r="AF765" s="484">
        <f t="shared" si="1680"/>
        <v>4467848970.1999998</v>
      </c>
      <c r="AG765" s="484">
        <f t="shared" si="1680"/>
        <v>1116161589.2</v>
      </c>
      <c r="AH765" s="484">
        <f t="shared" si="1680"/>
        <v>1737001000</v>
      </c>
      <c r="AI765" s="484">
        <f t="shared" si="1680"/>
        <v>2853162589.1999998</v>
      </c>
      <c r="AJ765" s="484">
        <f t="shared" si="1680"/>
        <v>0</v>
      </c>
      <c r="AK765" s="484">
        <f t="shared" si="1680"/>
        <v>0</v>
      </c>
      <c r="AL765" s="484"/>
      <c r="AM765" s="591">
        <f>SUM(AM180,AM281,AM540,AM642,AM764)</f>
        <v>0</v>
      </c>
      <c r="AN765" s="591">
        <f>SUM(AN180,AN281,AN540,AN642,AN764)</f>
        <v>1138394541</v>
      </c>
      <c r="AO765" s="591">
        <f>SUM(AO180,AO281,AO540,AO642,AO764)</f>
        <v>0</v>
      </c>
      <c r="AP765" s="591">
        <f>SUM(AP180,AP281,AP540,AP642,AP764)</f>
        <v>1192730041</v>
      </c>
      <c r="AQ765" s="591">
        <f>SUM(AQ180,AQ281,AQ540,AQ642,AQ764)</f>
        <v>-421956340</v>
      </c>
    </row>
    <row r="766" spans="2:44" s="242" customFormat="1" ht="0.75" customHeight="1">
      <c r="B766" s="241"/>
      <c r="E766" s="243"/>
      <c r="F766" s="243"/>
      <c r="G766" s="243"/>
      <c r="H766" s="243"/>
      <c r="I766" s="244">
        <f t="shared" ref="I766:W766" si="1681">I180+I281+I540+I642</f>
        <v>278362038</v>
      </c>
      <c r="J766" s="244">
        <f t="shared" si="1681"/>
        <v>470875000</v>
      </c>
      <c r="K766" s="244">
        <f t="shared" si="1681"/>
        <v>743803488</v>
      </c>
      <c r="L766" s="244">
        <f t="shared" si="1681"/>
        <v>465619712.19999999</v>
      </c>
      <c r="M766" s="244">
        <f t="shared" si="1681"/>
        <v>811876000</v>
      </c>
      <c r="N766" s="244">
        <f t="shared" si="1681"/>
        <v>1277495712.2</v>
      </c>
      <c r="O766" s="244">
        <f t="shared" si="1681"/>
        <v>356440612</v>
      </c>
      <c r="P766" s="244">
        <f t="shared" si="1681"/>
        <v>612500000</v>
      </c>
      <c r="Q766" s="244">
        <f t="shared" si="1681"/>
        <v>968940612</v>
      </c>
      <c r="R766" s="244">
        <f t="shared" si="1681"/>
        <v>269257492</v>
      </c>
      <c r="S766" s="244">
        <f t="shared" si="1681"/>
        <v>87750000</v>
      </c>
      <c r="T766" s="244">
        <f t="shared" si="1681"/>
        <v>363666072</v>
      </c>
      <c r="U766" s="244">
        <f t="shared" si="1681"/>
        <v>268692957.76800001</v>
      </c>
      <c r="V766" s="244">
        <f t="shared" si="1681"/>
        <v>0</v>
      </c>
      <c r="W766" s="244">
        <f t="shared" si="1681"/>
        <v>268883887</v>
      </c>
      <c r="X766" s="244"/>
      <c r="Y766" s="244"/>
      <c r="Z766" s="244"/>
      <c r="AA766" s="244"/>
      <c r="AB766" s="244"/>
      <c r="AC766" s="244"/>
      <c r="AD766" s="128">
        <f t="shared" ref="AD766:AQ766" si="1682">AD180+AD281+AD540+AD642</f>
        <v>2144130515.2</v>
      </c>
      <c r="AE766" s="244">
        <f t="shared" si="1682"/>
        <v>1983001000</v>
      </c>
      <c r="AF766" s="244">
        <f t="shared" si="1682"/>
        <v>4127131515.1999998</v>
      </c>
      <c r="AG766" s="244">
        <f t="shared" si="1682"/>
        <v>1040534322.2</v>
      </c>
      <c r="AH766" s="244">
        <f t="shared" si="1682"/>
        <v>1737001000</v>
      </c>
      <c r="AI766" s="244">
        <f t="shared" si="1682"/>
        <v>2777535322.1999998</v>
      </c>
      <c r="AJ766" s="244">
        <f t="shared" si="1682"/>
        <v>0</v>
      </c>
      <c r="AK766" s="244">
        <f t="shared" si="1682"/>
        <v>0</v>
      </c>
      <c r="AL766" s="244">
        <f t="shared" si="1682"/>
        <v>0</v>
      </c>
      <c r="AM766" s="244">
        <f t="shared" si="1682"/>
        <v>0</v>
      </c>
      <c r="AN766" s="244">
        <f t="shared" si="1682"/>
        <v>929064353</v>
      </c>
      <c r="AO766" s="244">
        <f t="shared" si="1682"/>
        <v>0</v>
      </c>
      <c r="AP766" s="244">
        <f t="shared" si="1682"/>
        <v>983399853</v>
      </c>
      <c r="AQ766" s="245">
        <f t="shared" si="1682"/>
        <v>-366196340</v>
      </c>
      <c r="AR766" s="246"/>
    </row>
  </sheetData>
  <autoFilter ref="E1:F766"/>
  <mergeCells count="144">
    <mergeCell ref="C186:D186"/>
    <mergeCell ref="B282:AQ282"/>
    <mergeCell ref="H646:H647"/>
    <mergeCell ref="AG646:AI646"/>
    <mergeCell ref="AJ646:AM646"/>
    <mergeCell ref="AN646:AP646"/>
    <mergeCell ref="C648:D648"/>
    <mergeCell ref="B643:AQ643"/>
    <mergeCell ref="B644:AQ644"/>
    <mergeCell ref="B645:B647"/>
    <mergeCell ref="C645:C647"/>
    <mergeCell ref="D645:D647"/>
    <mergeCell ref="E645:F645"/>
    <mergeCell ref="G645:H645"/>
    <mergeCell ref="I645:K646"/>
    <mergeCell ref="L645:N646"/>
    <mergeCell ref="O645:Q646"/>
    <mergeCell ref="R645:T646"/>
    <mergeCell ref="U645:W646"/>
    <mergeCell ref="H544:H545"/>
    <mergeCell ref="B541:AQ541"/>
    <mergeCell ref="C546:D546"/>
    <mergeCell ref="G543:H543"/>
    <mergeCell ref="AJ544:AM544"/>
    <mergeCell ref="B284:B286"/>
    <mergeCell ref="AQ645:AQ646"/>
    <mergeCell ref="C745:D745"/>
    <mergeCell ref="C563:D563"/>
    <mergeCell ref="C585:D585"/>
    <mergeCell ref="C621:D621"/>
    <mergeCell ref="B2:AQ2"/>
    <mergeCell ref="B4:AQ4"/>
    <mergeCell ref="G5:H5"/>
    <mergeCell ref="AG184:AI184"/>
    <mergeCell ref="AJ184:AM184"/>
    <mergeCell ref="B283:AQ283"/>
    <mergeCell ref="L183:N184"/>
    <mergeCell ref="AQ183:AQ184"/>
    <mergeCell ref="C232:D232"/>
    <mergeCell ref="G183:H183"/>
    <mergeCell ref="C114:D114"/>
    <mergeCell ref="B5:B8"/>
    <mergeCell ref="B183:B185"/>
    <mergeCell ref="E5:F5"/>
    <mergeCell ref="AG6:AI6"/>
    <mergeCell ref="E183:F183"/>
    <mergeCell ref="I5:K6"/>
    <mergeCell ref="R5:T6"/>
    <mergeCell ref="U5:W6"/>
    <mergeCell ref="L5:N6"/>
    <mergeCell ref="AG5:AM5"/>
    <mergeCell ref="O5:Q6"/>
    <mergeCell ref="AJ6:AM6"/>
    <mergeCell ref="AQ5:AQ6"/>
    <mergeCell ref="C9:D9"/>
    <mergeCell ref="C180:D180"/>
    <mergeCell ref="O183:Q184"/>
    <mergeCell ref="AD5:AF6"/>
    <mergeCell ref="AN6:AP6"/>
    <mergeCell ref="AN5:AP5"/>
    <mergeCell ref="AN183:AP183"/>
    <mergeCell ref="AN184:AP184"/>
    <mergeCell ref="X5:Z6"/>
    <mergeCell ref="AA5:AC6"/>
    <mergeCell ref="U183:W184"/>
    <mergeCell ref="AD183:AF184"/>
    <mergeCell ref="R183:T184"/>
    <mergeCell ref="F184:F185"/>
    <mergeCell ref="G184:G185"/>
    <mergeCell ref="C5:C8"/>
    <mergeCell ref="C183:C185"/>
    <mergeCell ref="D183:D185"/>
    <mergeCell ref="X183:Z184"/>
    <mergeCell ref="AA183:AC184"/>
    <mergeCell ref="L543:N544"/>
    <mergeCell ref="B182:AQ182"/>
    <mergeCell ref="AG183:AM183"/>
    <mergeCell ref="E184:E185"/>
    <mergeCell ref="O284:Q285"/>
    <mergeCell ref="R284:T285"/>
    <mergeCell ref="U284:W285"/>
    <mergeCell ref="D284:D286"/>
    <mergeCell ref="AJ285:AM285"/>
    <mergeCell ref="E284:F284"/>
    <mergeCell ref="AG285:AI285"/>
    <mergeCell ref="AG284:AM284"/>
    <mergeCell ref="G284:H284"/>
    <mergeCell ref="C281:D281"/>
    <mergeCell ref="C284:C286"/>
    <mergeCell ref="AD284:AF285"/>
    <mergeCell ref="C252:D252"/>
    <mergeCell ref="X284:Z285"/>
    <mergeCell ref="AA284:AC285"/>
    <mergeCell ref="X543:Z544"/>
    <mergeCell ref="AG543:AM543"/>
    <mergeCell ref="AA543:AC544"/>
    <mergeCell ref="C543:C545"/>
    <mergeCell ref="G285:G286"/>
    <mergeCell ref="D543:D545"/>
    <mergeCell ref="AN544:AP544"/>
    <mergeCell ref="C710:D710"/>
    <mergeCell ref="O543:Q544"/>
    <mergeCell ref="F544:F545"/>
    <mergeCell ref="G544:G545"/>
    <mergeCell ref="B542:AQ542"/>
    <mergeCell ref="X645:Z646"/>
    <mergeCell ref="AA645:AC646"/>
    <mergeCell ref="AD645:AF646"/>
    <mergeCell ref="AG645:AM645"/>
    <mergeCell ref="AN645:AP645"/>
    <mergeCell ref="E646:E647"/>
    <mergeCell ref="F646:F647"/>
    <mergeCell ref="G646:G647"/>
    <mergeCell ref="AG544:AI544"/>
    <mergeCell ref="AN543:AP543"/>
    <mergeCell ref="E544:E545"/>
    <mergeCell ref="C642:D642"/>
    <mergeCell ref="E285:E286"/>
    <mergeCell ref="F285:F286"/>
    <mergeCell ref="E543:F543"/>
    <mergeCell ref="B3:AQ3"/>
    <mergeCell ref="AN284:AP284"/>
    <mergeCell ref="AN285:AP285"/>
    <mergeCell ref="I183:K184"/>
    <mergeCell ref="I284:K285"/>
    <mergeCell ref="I543:K544"/>
    <mergeCell ref="B543:B545"/>
    <mergeCell ref="AD543:AF544"/>
    <mergeCell ref="C540:D540"/>
    <mergeCell ref="L284:N285"/>
    <mergeCell ref="E6:E8"/>
    <mergeCell ref="F6:F8"/>
    <mergeCell ref="G6:G8"/>
    <mergeCell ref="H6:H8"/>
    <mergeCell ref="D5:D8"/>
    <mergeCell ref="H184:H185"/>
    <mergeCell ref="B181:AQ181"/>
    <mergeCell ref="H285:H286"/>
    <mergeCell ref="AQ284:AQ285"/>
    <mergeCell ref="C287:D287"/>
    <mergeCell ref="C329:D329"/>
    <mergeCell ref="AQ543:AQ544"/>
    <mergeCell ref="R543:T544"/>
    <mergeCell ref="U543:W544"/>
  </mergeCells>
  <phoneticPr fontId="3" type="noConversion"/>
  <pageMargins left="0.2" right="0.2" top="0.25" bottom="0.25" header="0.3" footer="0.3"/>
  <pageSetup scale="75"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W77"/>
  <sheetViews>
    <sheetView topLeftCell="A4" zoomScale="60" zoomScaleNormal="60" workbookViewId="0">
      <pane ySplit="3" topLeftCell="A45" activePane="bottomLeft" state="frozen"/>
      <selection activeCell="A4" sqref="A4"/>
      <selection pane="bottomLeft" activeCell="P48" sqref="P48"/>
    </sheetView>
  </sheetViews>
  <sheetFormatPr defaultRowHeight="15"/>
  <cols>
    <col min="2" max="2" width="58.5703125" customWidth="1"/>
    <col min="3" max="3" width="26.7109375" customWidth="1"/>
    <col min="4" max="4" width="29.7109375" customWidth="1"/>
    <col min="5" max="5" width="17.42578125" customWidth="1"/>
    <col min="6" max="6" width="15.5703125" customWidth="1"/>
    <col min="7" max="7" width="21.42578125" style="10" customWidth="1"/>
    <col min="8" max="8" width="24" style="10" customWidth="1"/>
    <col min="9" max="9" width="22.7109375" style="10" customWidth="1"/>
    <col min="10" max="10" width="21.28515625" style="10" customWidth="1"/>
    <col min="11" max="11" width="20.28515625" style="10" customWidth="1"/>
    <col min="12" max="12" width="25.28515625" style="10" customWidth="1"/>
    <col min="13" max="13" width="19" style="10" customWidth="1"/>
    <col min="14" max="14" width="17.28515625" style="10" customWidth="1"/>
    <col min="15" max="15" width="21" style="10" customWidth="1"/>
    <col min="16" max="16" width="26.85546875" style="10" customWidth="1"/>
    <col min="17" max="17" width="20.7109375" style="10" customWidth="1"/>
    <col min="18" max="18" width="23.7109375" style="10" customWidth="1"/>
    <col min="19" max="19" width="22.140625" style="10" customWidth="1"/>
    <col min="20" max="20" width="20.85546875" style="10" customWidth="1"/>
    <col min="21" max="21" width="23.28515625" hidden="1" customWidth="1"/>
    <col min="22" max="22" width="22.7109375" style="19" customWidth="1"/>
    <col min="23" max="23" width="34.85546875" style="19" customWidth="1"/>
  </cols>
  <sheetData>
    <row r="1" spans="2:23" ht="15.75" thickBot="1"/>
    <row r="2" spans="2:23" ht="45" customHeight="1" thickBot="1">
      <c r="B2" s="917" t="s">
        <v>36</v>
      </c>
      <c r="C2" s="918"/>
      <c r="D2" s="918"/>
      <c r="E2" s="918"/>
      <c r="F2" s="918"/>
      <c r="G2" s="918"/>
      <c r="H2" s="918"/>
      <c r="I2" s="918"/>
      <c r="J2" s="918"/>
      <c r="K2" s="918"/>
      <c r="L2" s="918"/>
      <c r="M2" s="918"/>
      <c r="N2" s="918"/>
      <c r="O2" s="918"/>
      <c r="P2" s="918"/>
      <c r="Q2" s="918"/>
      <c r="R2" s="918"/>
      <c r="S2" s="918"/>
      <c r="T2" s="919"/>
    </row>
    <row r="3" spans="2:23" ht="16.5" customHeight="1" thickBot="1">
      <c r="B3" s="23" t="s">
        <v>70</v>
      </c>
      <c r="C3" s="921" t="s">
        <v>21</v>
      </c>
      <c r="D3" s="922"/>
      <c r="E3" s="921" t="s">
        <v>2</v>
      </c>
      <c r="F3" s="922"/>
      <c r="G3" s="24" t="s">
        <v>71</v>
      </c>
      <c r="H3" s="25"/>
      <c r="I3" s="26"/>
      <c r="J3" s="881" t="s">
        <v>42</v>
      </c>
      <c r="K3" s="882"/>
      <c r="L3" s="882"/>
      <c r="M3" s="882"/>
      <c r="N3" s="882"/>
      <c r="O3" s="882"/>
      <c r="P3" s="28"/>
      <c r="Q3" s="28"/>
      <c r="R3" s="28"/>
      <c r="S3" s="22" t="s">
        <v>41</v>
      </c>
      <c r="T3" s="11"/>
    </row>
    <row r="4" spans="2:23" ht="28.5" customHeight="1" thickBot="1">
      <c r="B4" s="29"/>
      <c r="C4" s="30"/>
      <c r="D4" s="30"/>
      <c r="E4" s="30"/>
      <c r="F4" s="30"/>
      <c r="G4" s="31"/>
      <c r="H4" s="25"/>
      <c r="I4" s="25"/>
      <c r="J4" s="21"/>
      <c r="K4" s="21"/>
      <c r="L4" s="21"/>
      <c r="M4" s="21"/>
      <c r="N4" s="21"/>
      <c r="O4" s="21"/>
      <c r="P4" s="28"/>
      <c r="Q4" s="28"/>
      <c r="R4" s="28"/>
      <c r="S4" s="28"/>
      <c r="T4" s="32"/>
    </row>
    <row r="5" spans="2:23" ht="33" customHeight="1" thickBot="1">
      <c r="B5" s="925" t="s">
        <v>257</v>
      </c>
      <c r="C5" s="926"/>
      <c r="D5" s="926"/>
      <c r="E5" s="926"/>
      <c r="F5" s="926"/>
      <c r="G5" s="927"/>
      <c r="H5" s="927"/>
      <c r="I5" s="927"/>
      <c r="J5" s="926"/>
      <c r="K5" s="926"/>
      <c r="L5" s="926"/>
      <c r="M5" s="926"/>
      <c r="N5" s="926"/>
      <c r="O5" s="926"/>
      <c r="P5" s="926"/>
      <c r="Q5" s="926"/>
      <c r="R5" s="926"/>
      <c r="S5" s="926"/>
      <c r="T5" s="928"/>
    </row>
    <row r="6" spans="2:23" ht="78.75" customHeight="1" thickBot="1">
      <c r="B6" s="923" t="s">
        <v>70</v>
      </c>
      <c r="C6" s="930" t="s">
        <v>74</v>
      </c>
      <c r="D6" s="930"/>
      <c r="E6" s="930" t="s">
        <v>54</v>
      </c>
      <c r="F6" s="932"/>
      <c r="G6" s="933" t="s">
        <v>75</v>
      </c>
      <c r="H6" s="933"/>
      <c r="I6" s="933"/>
      <c r="J6" s="882" t="s">
        <v>192</v>
      </c>
      <c r="K6" s="882"/>
      <c r="L6" s="882"/>
      <c r="M6" s="882"/>
      <c r="N6" s="882"/>
      <c r="O6" s="882"/>
      <c r="P6" s="898" t="s">
        <v>65</v>
      </c>
      <c r="Q6" s="899"/>
      <c r="R6" s="900"/>
      <c r="S6" s="907" t="s">
        <v>193</v>
      </c>
      <c r="T6" s="909" t="s">
        <v>1596</v>
      </c>
      <c r="U6" s="3"/>
    </row>
    <row r="7" spans="2:23" ht="37.9" customHeight="1" thickBot="1">
      <c r="B7" s="923"/>
      <c r="C7" s="915" t="s">
        <v>52</v>
      </c>
      <c r="D7" s="915" t="s">
        <v>76</v>
      </c>
      <c r="E7" s="930" t="s">
        <v>55</v>
      </c>
      <c r="F7" s="932" t="s">
        <v>77</v>
      </c>
      <c r="G7" s="933"/>
      <c r="H7" s="933"/>
      <c r="I7" s="933"/>
      <c r="J7" s="882" t="s">
        <v>191</v>
      </c>
      <c r="K7" s="882"/>
      <c r="L7" s="883"/>
      <c r="M7" s="881" t="s">
        <v>91</v>
      </c>
      <c r="N7" s="914"/>
      <c r="O7" s="914"/>
      <c r="P7" s="886" t="s">
        <v>185</v>
      </c>
      <c r="Q7" s="887"/>
      <c r="R7" s="888"/>
      <c r="S7" s="908"/>
      <c r="T7" s="910"/>
      <c r="U7" s="3"/>
    </row>
    <row r="8" spans="2:23" ht="37.9" customHeight="1" thickBot="1">
      <c r="B8" s="924"/>
      <c r="C8" s="929"/>
      <c r="D8" s="929"/>
      <c r="E8" s="931"/>
      <c r="F8" s="931"/>
      <c r="G8" s="742" t="s">
        <v>32</v>
      </c>
      <c r="H8" s="742" t="s">
        <v>33</v>
      </c>
      <c r="I8" s="742" t="s">
        <v>37</v>
      </c>
      <c r="J8" s="33" t="s">
        <v>32</v>
      </c>
      <c r="K8" s="27" t="s">
        <v>33</v>
      </c>
      <c r="L8" s="34" t="s">
        <v>34</v>
      </c>
      <c r="M8" s="33" t="s">
        <v>32</v>
      </c>
      <c r="N8" s="27" t="s">
        <v>33</v>
      </c>
      <c r="O8" s="34" t="s">
        <v>35</v>
      </c>
      <c r="P8" s="271" t="s">
        <v>32</v>
      </c>
      <c r="Q8" s="38" t="s">
        <v>33</v>
      </c>
      <c r="R8" s="272" t="s">
        <v>34</v>
      </c>
      <c r="S8" s="273"/>
      <c r="T8" s="273"/>
      <c r="U8" s="3"/>
    </row>
    <row r="9" spans="2:23" ht="63.75" customHeight="1" thickBot="1">
      <c r="B9" s="276" t="s">
        <v>1559</v>
      </c>
      <c r="C9" s="56"/>
      <c r="D9" s="56"/>
      <c r="E9" s="277">
        <v>2024</v>
      </c>
      <c r="F9" s="277">
        <v>2030</v>
      </c>
      <c r="G9" s="275">
        <f>'Kostimi i planit te veprimit'!AD113</f>
        <v>288923170</v>
      </c>
      <c r="H9" s="275">
        <f>'Kostimi i planit te veprimit'!AE113</f>
        <v>0</v>
      </c>
      <c r="I9" s="316">
        <f>G9+H9</f>
        <v>288923170</v>
      </c>
      <c r="J9" s="275">
        <f>'Kostimi i planit te veprimit'!AG113</f>
        <v>192786630</v>
      </c>
      <c r="K9" s="275">
        <f>'Kostimi i planit te veprimit'!AH113</f>
        <v>0</v>
      </c>
      <c r="L9" s="316">
        <f>J9+K9</f>
        <v>192786630</v>
      </c>
      <c r="M9" s="275">
        <f>'Kostimi i planit te veprimit'!AJ113</f>
        <v>0</v>
      </c>
      <c r="N9" s="275">
        <f>'Kostimi i planit te veprimit'!AK113</f>
        <v>0</v>
      </c>
      <c r="O9" s="275">
        <f>M9+N9</f>
        <v>0</v>
      </c>
      <c r="P9" s="275">
        <f>'Kostimi i planit te veprimit'!AN113</f>
        <v>96136540</v>
      </c>
      <c r="Q9" s="275">
        <f>'Kostimi i planit te veprimit'!AO113</f>
        <v>0</v>
      </c>
      <c r="R9" s="316">
        <f>P9+Q9</f>
        <v>96136540</v>
      </c>
      <c r="S9" s="317">
        <f>(L9+O9+R9)-I9</f>
        <v>0</v>
      </c>
      <c r="T9" s="318">
        <f>I9/105</f>
        <v>2751649.2380952379</v>
      </c>
      <c r="U9" s="2">
        <v>50000</v>
      </c>
      <c r="W9" s="320">
        <f>(L9+O9+R9)-I9</f>
        <v>0</v>
      </c>
    </row>
    <row r="10" spans="2:23" ht="62.45" customHeight="1" thickBot="1">
      <c r="B10" s="130" t="s">
        <v>1560</v>
      </c>
      <c r="C10" s="39"/>
      <c r="D10" s="39"/>
      <c r="E10" s="278">
        <v>2024</v>
      </c>
      <c r="F10" s="278">
        <v>2030</v>
      </c>
      <c r="G10" s="275">
        <f>'Kostimi i planit te veprimit'!AD135</f>
        <v>58081285.200000003</v>
      </c>
      <c r="H10" s="275">
        <f>'Kostimi i planit te veprimit'!AE135</f>
        <v>0</v>
      </c>
      <c r="I10" s="316">
        <f t="shared" ref="I10:I12" si="0">G10+H10</f>
        <v>58081285.200000003</v>
      </c>
      <c r="J10" s="275">
        <f>'Kostimi i planit te veprimit'!AG135</f>
        <v>35033795.200000003</v>
      </c>
      <c r="K10" s="275">
        <f>'Kostimi i planit te veprimit'!AH135</f>
        <v>0</v>
      </c>
      <c r="L10" s="154">
        <f>J10+K10</f>
        <v>35033795.200000003</v>
      </c>
      <c r="M10" s="275">
        <f>'Kostimi i planit te veprimit'!AJ135</f>
        <v>0</v>
      </c>
      <c r="N10" s="275">
        <f>'Kostimi i planit te veprimit'!AK135</f>
        <v>0</v>
      </c>
      <c r="O10" s="153">
        <f>M10+N10</f>
        <v>0</v>
      </c>
      <c r="P10" s="275">
        <f>'Kostimi i planit te veprimit'!AN135</f>
        <v>20647490</v>
      </c>
      <c r="Q10" s="275">
        <f>'Kostimi i planit te veprimit'!AO135</f>
        <v>0</v>
      </c>
      <c r="R10" s="316">
        <f t="shared" ref="R10:R12" si="1">P10+Q10</f>
        <v>20647490</v>
      </c>
      <c r="S10" s="317">
        <f t="shared" ref="S10:S12" si="2">(L10+O10+R10)-I10</f>
        <v>-2400000</v>
      </c>
      <c r="T10" s="318">
        <f t="shared" ref="T10:T12" si="3">I10/105</f>
        <v>553155.09714285715</v>
      </c>
      <c r="U10" s="2">
        <v>100000</v>
      </c>
    </row>
    <row r="11" spans="2:23" ht="62.45" customHeight="1" thickBot="1">
      <c r="B11" s="743" t="s">
        <v>1561</v>
      </c>
      <c r="C11" s="167"/>
      <c r="D11" s="167"/>
      <c r="E11" s="278">
        <v>2024</v>
      </c>
      <c r="F11" s="278">
        <v>2030</v>
      </c>
      <c r="G11" s="275">
        <f>'Kostimi i planit te veprimit'!AD163</f>
        <v>46728530</v>
      </c>
      <c r="H11" s="275">
        <f>'Kostimi i planit te veprimit'!AE163</f>
        <v>0</v>
      </c>
      <c r="I11" s="316">
        <f t="shared" si="0"/>
        <v>46728530</v>
      </c>
      <c r="J11" s="275">
        <f>'Kostimi i planit te veprimit'!AG163</f>
        <v>20647490</v>
      </c>
      <c r="K11" s="275">
        <f>'Kostimi i planit te veprimit'!AH163</f>
        <v>0</v>
      </c>
      <c r="L11" s="154">
        <f t="shared" ref="L11:L12" si="4">J11+K11</f>
        <v>20647490</v>
      </c>
      <c r="M11" s="275">
        <f>'Kostimi i planit te veprimit'!AJ163</f>
        <v>0</v>
      </c>
      <c r="N11" s="275">
        <f>'Kostimi i planit te veprimit'!AK163</f>
        <v>0</v>
      </c>
      <c r="O11" s="153">
        <f t="shared" ref="O11:O12" si="5">M11+N11</f>
        <v>0</v>
      </c>
      <c r="P11" s="275">
        <f>'Kostimi i planit te veprimit'!AN163</f>
        <v>26081040</v>
      </c>
      <c r="Q11" s="275">
        <f>'Kostimi i planit te veprimit'!AO163</f>
        <v>0</v>
      </c>
      <c r="R11" s="316">
        <f t="shared" si="1"/>
        <v>26081040</v>
      </c>
      <c r="S11" s="744">
        <f t="shared" si="2"/>
        <v>0</v>
      </c>
      <c r="T11" s="318">
        <f t="shared" si="3"/>
        <v>445033.61904761905</v>
      </c>
      <c r="U11" s="2"/>
    </row>
    <row r="12" spans="2:23" ht="62.45" customHeight="1">
      <c r="B12" s="743" t="s">
        <v>1563</v>
      </c>
      <c r="C12" s="167"/>
      <c r="D12" s="167"/>
      <c r="E12" s="278">
        <v>2024</v>
      </c>
      <c r="F12" s="278">
        <v>2030</v>
      </c>
      <c r="G12" s="275">
        <f>'Kostimi i planit te veprimit'!AD179</f>
        <v>35814460</v>
      </c>
      <c r="H12" s="275">
        <f>'Kostimi i planit te veprimit'!AE179</f>
        <v>0</v>
      </c>
      <c r="I12" s="316">
        <f t="shared" si="0"/>
        <v>35814460</v>
      </c>
      <c r="J12" s="275">
        <f>'Kostimi i planit te veprimit'!AG179</f>
        <v>18453940</v>
      </c>
      <c r="K12" s="275">
        <f>'Kostimi i planit te veprimit'!AH179</f>
        <v>0</v>
      </c>
      <c r="L12" s="154">
        <f t="shared" si="4"/>
        <v>18453940</v>
      </c>
      <c r="M12" s="275">
        <f>'Kostimi i planit te veprimit'!AJ179</f>
        <v>0</v>
      </c>
      <c r="N12" s="275">
        <f>'Kostimi i planit te veprimit'!AK179</f>
        <v>0</v>
      </c>
      <c r="O12" s="153">
        <f t="shared" si="5"/>
        <v>0</v>
      </c>
      <c r="P12" s="275">
        <f>'Kostimi i planit te veprimit'!AN179</f>
        <v>17360520</v>
      </c>
      <c r="Q12" s="275">
        <f>'Kostimi i planit te veprimit'!AO179</f>
        <v>0</v>
      </c>
      <c r="R12" s="316">
        <f t="shared" si="1"/>
        <v>17360520</v>
      </c>
      <c r="S12" s="744">
        <f t="shared" si="2"/>
        <v>0</v>
      </c>
      <c r="T12" s="318">
        <f t="shared" si="3"/>
        <v>341090.09523809527</v>
      </c>
      <c r="U12" s="2"/>
    </row>
    <row r="13" spans="2:23" ht="54" customHeight="1" thickBot="1">
      <c r="B13" s="143" t="s">
        <v>1564</v>
      </c>
      <c r="C13" s="389"/>
      <c r="D13" s="389"/>
      <c r="E13" s="144"/>
      <c r="F13" s="144"/>
      <c r="G13" s="279">
        <f>SUM(G9:G12)</f>
        <v>429547445.19999999</v>
      </c>
      <c r="H13" s="279">
        <f t="shared" ref="H13:T13" si="6">SUM(H9:H12)</f>
        <v>0</v>
      </c>
      <c r="I13" s="279">
        <f t="shared" si="6"/>
        <v>429547445.19999999</v>
      </c>
      <c r="J13" s="279">
        <f t="shared" si="6"/>
        <v>266921855.19999999</v>
      </c>
      <c r="K13" s="279">
        <f t="shared" si="6"/>
        <v>0</v>
      </c>
      <c r="L13" s="279">
        <f t="shared" si="6"/>
        <v>266921855.19999999</v>
      </c>
      <c r="M13" s="279">
        <f t="shared" si="6"/>
        <v>0</v>
      </c>
      <c r="N13" s="279">
        <f t="shared" si="6"/>
        <v>0</v>
      </c>
      <c r="O13" s="279">
        <f t="shared" si="6"/>
        <v>0</v>
      </c>
      <c r="P13" s="279">
        <f t="shared" si="6"/>
        <v>160225590</v>
      </c>
      <c r="Q13" s="279">
        <f t="shared" si="6"/>
        <v>0</v>
      </c>
      <c r="R13" s="279">
        <f t="shared" si="6"/>
        <v>160225590</v>
      </c>
      <c r="S13" s="279">
        <f t="shared" si="6"/>
        <v>-2400000</v>
      </c>
      <c r="T13" s="279">
        <f t="shared" si="6"/>
        <v>4090928.049523809</v>
      </c>
      <c r="U13" s="274">
        <f t="shared" ref="U13" si="7">SUM(U9:U10)</f>
        <v>150000</v>
      </c>
    </row>
    <row r="14" spans="2:23" ht="38.25" customHeight="1" thickBot="1">
      <c r="B14" s="920" t="s">
        <v>550</v>
      </c>
      <c r="C14" s="893"/>
      <c r="D14" s="893"/>
      <c r="E14" s="893"/>
      <c r="F14" s="893"/>
      <c r="G14" s="893"/>
      <c r="H14" s="893"/>
      <c r="I14" s="893"/>
      <c r="J14" s="893"/>
      <c r="K14" s="893"/>
      <c r="L14" s="893"/>
      <c r="M14" s="893"/>
      <c r="N14" s="893"/>
      <c r="O14" s="893"/>
      <c r="P14" s="893"/>
      <c r="Q14" s="893"/>
      <c r="R14" s="893"/>
      <c r="S14" s="893"/>
      <c r="T14" s="894"/>
    </row>
    <row r="15" spans="2:23" ht="37.9" customHeight="1" thickBot="1">
      <c r="B15" s="913" t="s">
        <v>70</v>
      </c>
      <c r="C15" s="880" t="s">
        <v>74</v>
      </c>
      <c r="D15" s="880"/>
      <c r="E15" s="880" t="s">
        <v>54</v>
      </c>
      <c r="F15" s="880"/>
      <c r="G15" s="898" t="s">
        <v>75</v>
      </c>
      <c r="H15" s="899"/>
      <c r="I15" s="900"/>
      <c r="J15" s="881" t="s">
        <v>192</v>
      </c>
      <c r="K15" s="882"/>
      <c r="L15" s="882"/>
      <c r="M15" s="882"/>
      <c r="N15" s="882"/>
      <c r="O15" s="882"/>
      <c r="P15" s="898" t="s">
        <v>65</v>
      </c>
      <c r="Q15" s="899"/>
      <c r="R15" s="900"/>
      <c r="S15" s="907" t="s">
        <v>193</v>
      </c>
      <c r="T15" s="909" t="s">
        <v>1595</v>
      </c>
      <c r="U15" s="3"/>
    </row>
    <row r="16" spans="2:23" ht="37.9" customHeight="1" thickBot="1">
      <c r="B16" s="913"/>
      <c r="C16" s="915" t="s">
        <v>52</v>
      </c>
      <c r="D16" s="915" t="s">
        <v>76</v>
      </c>
      <c r="E16" s="930" t="s">
        <v>55</v>
      </c>
      <c r="F16" s="930" t="s">
        <v>77</v>
      </c>
      <c r="G16" s="901"/>
      <c r="H16" s="902"/>
      <c r="I16" s="903"/>
      <c r="J16" s="881" t="s">
        <v>191</v>
      </c>
      <c r="K16" s="882"/>
      <c r="L16" s="883"/>
      <c r="M16" s="881" t="s">
        <v>91</v>
      </c>
      <c r="N16" s="914"/>
      <c r="O16" s="914"/>
      <c r="P16" s="886" t="s">
        <v>185</v>
      </c>
      <c r="Q16" s="887"/>
      <c r="R16" s="888"/>
      <c r="S16" s="908"/>
      <c r="T16" s="910"/>
      <c r="U16" s="3"/>
    </row>
    <row r="17" spans="2:21" ht="37.9" customHeight="1" thickBot="1">
      <c r="B17" s="913"/>
      <c r="C17" s="916"/>
      <c r="D17" s="916"/>
      <c r="E17" s="930"/>
      <c r="F17" s="930"/>
      <c r="G17" s="131" t="s">
        <v>32</v>
      </c>
      <c r="H17" s="131" t="s">
        <v>33</v>
      </c>
      <c r="I17" s="131" t="s">
        <v>37</v>
      </c>
      <c r="J17" s="132" t="s">
        <v>32</v>
      </c>
      <c r="K17" s="133" t="s">
        <v>33</v>
      </c>
      <c r="L17" s="134" t="s">
        <v>34</v>
      </c>
      <c r="M17" s="135" t="s">
        <v>32</v>
      </c>
      <c r="N17" s="136" t="s">
        <v>33</v>
      </c>
      <c r="O17" s="137" t="s">
        <v>35</v>
      </c>
      <c r="P17" s="138" t="s">
        <v>32</v>
      </c>
      <c r="Q17" s="139" t="s">
        <v>33</v>
      </c>
      <c r="R17" s="140" t="s">
        <v>34</v>
      </c>
      <c r="S17" s="141"/>
      <c r="T17" s="141"/>
      <c r="U17" s="3"/>
    </row>
    <row r="18" spans="2:21" ht="73.150000000000006" customHeight="1">
      <c r="B18" s="129" t="s">
        <v>553</v>
      </c>
      <c r="C18" s="1"/>
      <c r="D18" s="1"/>
      <c r="E18" s="278">
        <v>2024</v>
      </c>
      <c r="F18" s="278">
        <v>2030</v>
      </c>
      <c r="G18" s="158">
        <f>'Kostimi i planit te veprimit'!AD198</f>
        <v>80722860</v>
      </c>
      <c r="H18" s="158">
        <f>'Kostimi i planit te veprimit'!AE198</f>
        <v>0</v>
      </c>
      <c r="I18" s="155">
        <f>G18+H18</f>
        <v>80722860</v>
      </c>
      <c r="J18" s="153">
        <f>'Kostimi i planit te veprimit'!AG198</f>
        <v>43774720</v>
      </c>
      <c r="K18" s="153">
        <f>'Kostimi i planit te veprimit'!AH198</f>
        <v>0</v>
      </c>
      <c r="L18" s="154">
        <f>J18+K18</f>
        <v>43774720</v>
      </c>
      <c r="M18" s="153">
        <f>'Kostimi i planit te veprimit'!AJ198</f>
        <v>0</v>
      </c>
      <c r="N18" s="153">
        <f>'Kostimi i planit te veprimit'!AK143</f>
        <v>0</v>
      </c>
      <c r="O18" s="154">
        <f>M18+N18</f>
        <v>0</v>
      </c>
      <c r="P18" s="153">
        <f>'Kostimi i planit te veprimit'!AN198</f>
        <v>0</v>
      </c>
      <c r="Q18" s="153">
        <f>'Kostimi i planit te veprimit'!AO198</f>
        <v>0</v>
      </c>
      <c r="R18" s="154">
        <f>P18+Q18</f>
        <v>0</v>
      </c>
      <c r="S18" s="155">
        <f>(L18+O18+R18)-I18</f>
        <v>-36948140</v>
      </c>
      <c r="T18" s="156">
        <f>I18/105</f>
        <v>768789.14285714284</v>
      </c>
      <c r="U18" s="2">
        <v>125900000</v>
      </c>
    </row>
    <row r="19" spans="2:21" ht="62.45" customHeight="1">
      <c r="B19" s="129" t="s">
        <v>1566</v>
      </c>
      <c r="C19" s="1"/>
      <c r="D19" s="1"/>
      <c r="E19" s="278">
        <v>2024</v>
      </c>
      <c r="F19" s="278">
        <v>2030</v>
      </c>
      <c r="G19" s="158">
        <f>'Kostimi i planit te veprimit'!AD215</f>
        <v>65895760</v>
      </c>
      <c r="H19" s="158">
        <f>'Kostimi i planit te veprimit'!AE215</f>
        <v>0</v>
      </c>
      <c r="I19" s="155">
        <f t="shared" ref="I19:I22" si="8">G19+H19</f>
        <v>65895760</v>
      </c>
      <c r="J19" s="153">
        <f>'Kostimi i planit te veprimit'!AG215</f>
        <v>28241040</v>
      </c>
      <c r="K19" s="153">
        <f>'Kostimi i planit te veprimit'!AH215</f>
        <v>0</v>
      </c>
      <c r="L19" s="154">
        <f t="shared" ref="L19:L22" si="9">J19+K19</f>
        <v>28241040</v>
      </c>
      <c r="M19" s="153">
        <f>'Kostimi i planit te veprimit'!AJ215</f>
        <v>0</v>
      </c>
      <c r="N19" s="153">
        <f>'Kostimi i planit te veprimit'!AK144</f>
        <v>0</v>
      </c>
      <c r="O19" s="154">
        <f>M19+N19</f>
        <v>0</v>
      </c>
      <c r="P19" s="153">
        <f>'Kostimi i planit te veprimit'!AN215</f>
        <v>37654720</v>
      </c>
      <c r="Q19" s="153">
        <f>'Kostimi i planit te veprimit'!AO215</f>
        <v>0</v>
      </c>
      <c r="R19" s="154">
        <f t="shared" ref="R19:R22" si="10">P19+Q19</f>
        <v>37654720</v>
      </c>
      <c r="S19" s="155">
        <f t="shared" ref="S19:S23" si="11">(L19+O19+R19)-I19</f>
        <v>0</v>
      </c>
      <c r="T19" s="156">
        <f t="shared" ref="T19:T22" si="12">I19/105</f>
        <v>627578.66666666663</v>
      </c>
      <c r="U19" s="2">
        <v>525200000</v>
      </c>
    </row>
    <row r="20" spans="2:21" ht="70.900000000000006" customHeight="1">
      <c r="B20" s="142" t="s">
        <v>1568</v>
      </c>
      <c r="C20" s="39"/>
      <c r="D20" s="1"/>
      <c r="E20" s="278">
        <v>2024</v>
      </c>
      <c r="F20" s="278">
        <v>2030</v>
      </c>
      <c r="G20" s="158">
        <f>'Kostimi i planit te veprimit'!AD231</f>
        <v>60855760</v>
      </c>
      <c r="H20" s="158">
        <f>'Kostimi i planit te veprimit'!AE231</f>
        <v>0</v>
      </c>
      <c r="I20" s="155">
        <f t="shared" si="8"/>
        <v>60855760</v>
      </c>
      <c r="J20" s="153">
        <f>'Kostimi i planit te veprimit'!AG231</f>
        <v>30427880</v>
      </c>
      <c r="K20" s="153">
        <f>'Kostimi i planit te veprimit'!AH231</f>
        <v>0</v>
      </c>
      <c r="L20" s="154">
        <f t="shared" si="9"/>
        <v>30427880</v>
      </c>
      <c r="M20" s="153">
        <f>'Kostimi i planit te veprimit'!AJ231</f>
        <v>0</v>
      </c>
      <c r="N20" s="153">
        <f>'Kostimi i planit te veprimit'!AK145</f>
        <v>0</v>
      </c>
      <c r="O20" s="154">
        <f>M20+N20</f>
        <v>0</v>
      </c>
      <c r="P20" s="153">
        <f>'Kostimi i planit te veprimit'!AN231</f>
        <v>30427880</v>
      </c>
      <c r="Q20" s="153">
        <f>'Kostimi i planit te veprimit'!AO231</f>
        <v>0</v>
      </c>
      <c r="R20" s="154">
        <f t="shared" si="10"/>
        <v>30427880</v>
      </c>
      <c r="S20" s="155">
        <f t="shared" si="11"/>
        <v>0</v>
      </c>
      <c r="T20" s="156">
        <f t="shared" si="12"/>
        <v>579578.66666666663</v>
      </c>
      <c r="U20" s="2"/>
    </row>
    <row r="21" spans="2:21" ht="78" customHeight="1">
      <c r="B21" s="142" t="s">
        <v>614</v>
      </c>
      <c r="C21" s="167"/>
      <c r="D21" s="168"/>
      <c r="E21" s="278">
        <v>2024</v>
      </c>
      <c r="F21" s="278">
        <v>2030</v>
      </c>
      <c r="G21" s="158">
        <f>'Kostimi i planit te veprimit'!AD251</f>
        <v>82189700</v>
      </c>
      <c r="H21" s="158">
        <f>'Kostimi i planit te veprimit'!AE251</f>
        <v>0</v>
      </c>
      <c r="I21" s="155">
        <f t="shared" si="8"/>
        <v>82189700</v>
      </c>
      <c r="J21" s="153">
        <f>'Kostimi i planit te veprimit'!AG251</f>
        <v>44534980</v>
      </c>
      <c r="K21" s="153">
        <f>'Kostimi i planit te veprimit'!AH251</f>
        <v>0</v>
      </c>
      <c r="L21" s="154">
        <f t="shared" si="9"/>
        <v>44534980</v>
      </c>
      <c r="M21" s="153">
        <f>'Kostimi i planit te veprimit'!AJ251</f>
        <v>0</v>
      </c>
      <c r="N21" s="153">
        <f>'Kostimi i planit te veprimit'!AK146</f>
        <v>0</v>
      </c>
      <c r="O21" s="154">
        <f>M21+N21</f>
        <v>0</v>
      </c>
      <c r="P21" s="153">
        <f>'Kostimi i planit te veprimit'!AN251</f>
        <v>37654720</v>
      </c>
      <c r="Q21" s="153">
        <f>'Kostimi i planit te veprimit'!AO251</f>
        <v>0</v>
      </c>
      <c r="R21" s="154">
        <f t="shared" si="10"/>
        <v>37654720</v>
      </c>
      <c r="S21" s="155">
        <f t="shared" si="11"/>
        <v>0</v>
      </c>
      <c r="T21" s="156">
        <f t="shared" si="12"/>
        <v>782759.04761904757</v>
      </c>
      <c r="U21" s="2"/>
    </row>
    <row r="22" spans="2:21" ht="51" customHeight="1">
      <c r="B22" s="142" t="s">
        <v>1571</v>
      </c>
      <c r="C22" s="167"/>
      <c r="D22" s="168"/>
      <c r="E22" s="278">
        <v>2024</v>
      </c>
      <c r="F22" s="278">
        <v>2030</v>
      </c>
      <c r="G22" s="158">
        <f>'Kostimi i planit te veprimit'!AD280</f>
        <v>160131650</v>
      </c>
      <c r="H22" s="158">
        <f>'Kostimi i planit te veprimit'!AE280</f>
        <v>0</v>
      </c>
      <c r="I22" s="155">
        <f t="shared" si="8"/>
        <v>160131650</v>
      </c>
      <c r="J22" s="153">
        <f>'Kostimi i planit te veprimit'!AG280</f>
        <v>69462210</v>
      </c>
      <c r="K22" s="153">
        <f>'Kostimi i planit te veprimit'!AH280</f>
        <v>0</v>
      </c>
      <c r="L22" s="154">
        <f t="shared" si="9"/>
        <v>69462210</v>
      </c>
      <c r="M22" s="153">
        <f>'Kostimi i planit te veprimit'!AJ280</f>
        <v>0</v>
      </c>
      <c r="N22" s="153">
        <f>'Kostimi i planit te veprimit'!AK147</f>
        <v>0</v>
      </c>
      <c r="O22" s="154">
        <v>0</v>
      </c>
      <c r="P22" s="153">
        <f>'Kostimi i planit te veprimit'!AN280</f>
        <v>90669440</v>
      </c>
      <c r="Q22" s="153">
        <f>'Kostimi i planit te veprimit'!AO280</f>
        <v>0</v>
      </c>
      <c r="R22" s="154">
        <f t="shared" si="10"/>
        <v>90669440</v>
      </c>
      <c r="S22" s="155">
        <f t="shared" si="11"/>
        <v>0</v>
      </c>
      <c r="T22" s="156">
        <f t="shared" si="12"/>
        <v>1525063.3333333333</v>
      </c>
      <c r="U22" s="2"/>
    </row>
    <row r="23" spans="2:21" ht="41.45" customHeight="1" thickBot="1">
      <c r="B23" s="143" t="s">
        <v>99</v>
      </c>
      <c r="C23" s="144"/>
      <c r="D23" s="144"/>
      <c r="E23" s="144"/>
      <c r="F23" s="144"/>
      <c r="G23" s="164">
        <f>SUM(G18:G22)</f>
        <v>449795730</v>
      </c>
      <c r="H23" s="164">
        <f t="shared" ref="H23:T23" si="13">SUM(H18:H22)</f>
        <v>0</v>
      </c>
      <c r="I23" s="164">
        <f t="shared" si="13"/>
        <v>449795730</v>
      </c>
      <c r="J23" s="164">
        <f t="shared" si="13"/>
        <v>216440830</v>
      </c>
      <c r="K23" s="164">
        <f t="shared" si="13"/>
        <v>0</v>
      </c>
      <c r="L23" s="164">
        <f t="shared" si="13"/>
        <v>216440830</v>
      </c>
      <c r="M23" s="164">
        <f t="shared" si="13"/>
        <v>0</v>
      </c>
      <c r="N23" s="164">
        <f t="shared" si="13"/>
        <v>0</v>
      </c>
      <c r="O23" s="164">
        <f t="shared" si="13"/>
        <v>0</v>
      </c>
      <c r="P23" s="164">
        <f t="shared" si="13"/>
        <v>196406760</v>
      </c>
      <c r="Q23" s="164">
        <f t="shared" si="13"/>
        <v>0</v>
      </c>
      <c r="R23" s="164">
        <f t="shared" si="13"/>
        <v>196406760</v>
      </c>
      <c r="S23" s="164">
        <f t="shared" si="11"/>
        <v>-36948140</v>
      </c>
      <c r="T23" s="164">
        <f t="shared" si="13"/>
        <v>4283768.8571428573</v>
      </c>
      <c r="U23" s="37">
        <f>SUM(U18:U20)</f>
        <v>651100000</v>
      </c>
    </row>
    <row r="24" spans="2:21" ht="36" customHeight="1" thickBot="1">
      <c r="B24" s="934" t="s">
        <v>706</v>
      </c>
      <c r="C24" s="935"/>
      <c r="D24" s="935"/>
      <c r="E24" s="935"/>
      <c r="F24" s="935"/>
      <c r="G24" s="935"/>
      <c r="H24" s="935"/>
      <c r="I24" s="935"/>
      <c r="J24" s="935"/>
      <c r="K24" s="935"/>
      <c r="L24" s="935"/>
      <c r="M24" s="935"/>
      <c r="N24" s="935"/>
      <c r="O24" s="935"/>
      <c r="P24" s="935"/>
      <c r="Q24" s="935"/>
      <c r="R24" s="935"/>
      <c r="S24" s="935"/>
      <c r="T24" s="936"/>
    </row>
    <row r="25" spans="2:21" ht="37.9" customHeight="1">
      <c r="B25" s="940" t="s">
        <v>70</v>
      </c>
      <c r="C25" s="937" t="s">
        <v>74</v>
      </c>
      <c r="D25" s="937"/>
      <c r="E25" s="937" t="s">
        <v>54</v>
      </c>
      <c r="F25" s="937"/>
      <c r="G25" s="939" t="s">
        <v>75</v>
      </c>
      <c r="H25" s="939"/>
      <c r="I25" s="939"/>
      <c r="J25" s="817" t="s">
        <v>192</v>
      </c>
      <c r="K25" s="817"/>
      <c r="L25" s="817"/>
      <c r="M25" s="817"/>
      <c r="N25" s="817"/>
      <c r="O25" s="817"/>
      <c r="P25" s="939" t="s">
        <v>65</v>
      </c>
      <c r="Q25" s="939"/>
      <c r="R25" s="939"/>
      <c r="S25" s="817" t="s">
        <v>193</v>
      </c>
      <c r="T25" s="843" t="s">
        <v>1595</v>
      </c>
      <c r="U25" s="3"/>
    </row>
    <row r="26" spans="2:21" ht="29.45" customHeight="1">
      <c r="B26" s="941"/>
      <c r="C26" s="942" t="s">
        <v>52</v>
      </c>
      <c r="D26" s="942" t="s">
        <v>76</v>
      </c>
      <c r="E26" s="833" t="s">
        <v>55</v>
      </c>
      <c r="F26" s="833" t="s">
        <v>77</v>
      </c>
      <c r="G26" s="933"/>
      <c r="H26" s="933"/>
      <c r="I26" s="933"/>
      <c r="J26" s="821" t="s">
        <v>191</v>
      </c>
      <c r="K26" s="821"/>
      <c r="L26" s="821"/>
      <c r="M26" s="821" t="s">
        <v>91</v>
      </c>
      <c r="N26" s="938"/>
      <c r="O26" s="938"/>
      <c r="P26" s="933" t="s">
        <v>185</v>
      </c>
      <c r="Q26" s="933"/>
      <c r="R26" s="933"/>
      <c r="S26" s="821"/>
      <c r="T26" s="844"/>
      <c r="U26" s="3"/>
    </row>
    <row r="27" spans="2:21" ht="39" customHeight="1">
      <c r="B27" s="941"/>
      <c r="C27" s="943"/>
      <c r="D27" s="943"/>
      <c r="E27" s="833"/>
      <c r="F27" s="833"/>
      <c r="G27" s="309" t="s">
        <v>32</v>
      </c>
      <c r="H27" s="309" t="s">
        <v>33</v>
      </c>
      <c r="I27" s="309" t="s">
        <v>37</v>
      </c>
      <c r="J27" s="307" t="s">
        <v>32</v>
      </c>
      <c r="K27" s="307" t="s">
        <v>33</v>
      </c>
      <c r="L27" s="307" t="s">
        <v>34</v>
      </c>
      <c r="M27" s="307" t="s">
        <v>32</v>
      </c>
      <c r="N27" s="310" t="s">
        <v>33</v>
      </c>
      <c r="O27" s="310" t="s">
        <v>35</v>
      </c>
      <c r="P27" s="311" t="s">
        <v>32</v>
      </c>
      <c r="Q27" s="311" t="s">
        <v>33</v>
      </c>
      <c r="R27" s="311" t="s">
        <v>34</v>
      </c>
      <c r="S27" s="310"/>
      <c r="T27" s="312"/>
      <c r="U27" s="3"/>
    </row>
    <row r="28" spans="2:21" ht="63.75" customHeight="1">
      <c r="B28" s="129" t="s">
        <v>1573</v>
      </c>
      <c r="C28" s="39"/>
      <c r="D28" s="39"/>
      <c r="E28" s="35">
        <v>2024</v>
      </c>
      <c r="F28" s="35">
        <v>2030</v>
      </c>
      <c r="G28" s="153">
        <f>'Kostimi i planit te veprimit'!AD328</f>
        <v>243941155</v>
      </c>
      <c r="H28" s="153">
        <f>'Kostimi i planit te veprimit'!AE328</f>
        <v>0</v>
      </c>
      <c r="I28" s="154">
        <f>SUM(G28:H28)</f>
        <v>243941155</v>
      </c>
      <c r="J28" s="153">
        <f>'Kostimi i planit te veprimit'!AG328</f>
        <v>134990675</v>
      </c>
      <c r="K28" s="153">
        <f>'Kostimi i planit te veprimit'!AH328</f>
        <v>0</v>
      </c>
      <c r="L28" s="154">
        <f>SUM(J28:K28)</f>
        <v>134990675</v>
      </c>
      <c r="M28" s="153">
        <f>'Kostimi i planit te veprimit'!AJ328</f>
        <v>0</v>
      </c>
      <c r="N28" s="153">
        <f>'Kostimi i planit te veprimit'!AK328</f>
        <v>0</v>
      </c>
      <c r="O28" s="154">
        <f>SUM(M28:N28)</f>
        <v>0</v>
      </c>
      <c r="P28" s="153">
        <f>'Kostimi i planit te veprimit'!AN328</f>
        <v>108950480</v>
      </c>
      <c r="Q28" s="153">
        <f>'Kostimi i planit te veprimit'!AO328</f>
        <v>0</v>
      </c>
      <c r="R28" s="154">
        <f>SUM(P28:Q28)</f>
        <v>108950480</v>
      </c>
      <c r="S28" s="155">
        <f>(L28+O28+R28)-I28</f>
        <v>0</v>
      </c>
      <c r="T28" s="156">
        <f>I28/105</f>
        <v>2323249.0952380951</v>
      </c>
      <c r="U28" s="2">
        <v>529017000</v>
      </c>
    </row>
    <row r="29" spans="2:21" ht="50.45" customHeight="1">
      <c r="B29" s="129" t="s">
        <v>1574</v>
      </c>
      <c r="C29" s="39"/>
      <c r="D29" s="39"/>
      <c r="E29" s="35">
        <v>2024</v>
      </c>
      <c r="F29" s="35">
        <v>2030</v>
      </c>
      <c r="G29" s="153">
        <f>'Kostimi i planit te veprimit'!AD364</f>
        <v>279387305</v>
      </c>
      <c r="H29" s="153">
        <f>'Kostimi i planit te veprimit'!AE364</f>
        <v>0</v>
      </c>
      <c r="I29" s="154">
        <f t="shared" ref="I29:I33" si="14">SUM(G29:H29)</f>
        <v>279387305</v>
      </c>
      <c r="J29" s="153">
        <f>'Kostimi i planit te veprimit'!AG364</f>
        <v>130915005</v>
      </c>
      <c r="K29" s="153">
        <f>'Kostimi i planit te veprimit'!AH364</f>
        <v>0</v>
      </c>
      <c r="L29" s="154">
        <f>SUM(J29:K29)</f>
        <v>130915005</v>
      </c>
      <c r="M29" s="153">
        <f>'Kostimi i planit te veprimit'!AJ364</f>
        <v>0</v>
      </c>
      <c r="N29" s="153">
        <f>'Kostimi i planit te veprimit'!AK364</f>
        <v>0</v>
      </c>
      <c r="O29" s="154">
        <f>SUM(M29:N29)</f>
        <v>0</v>
      </c>
      <c r="P29" s="153">
        <f>'Kostimi i planit te veprimit'!AN364</f>
        <v>148472300</v>
      </c>
      <c r="Q29" s="153">
        <f>'Kostimi i planit te veprimit'!AO364</f>
        <v>0</v>
      </c>
      <c r="R29" s="154">
        <f>SUM(P29:Q29)</f>
        <v>148472300</v>
      </c>
      <c r="S29" s="155">
        <f t="shared" ref="S29:S33" si="15">(L29+O29+R29)-I29</f>
        <v>0</v>
      </c>
      <c r="T29" s="156">
        <f t="shared" ref="T29:T33" si="16">I29/105</f>
        <v>2660831.4761904762</v>
      </c>
      <c r="U29" s="2" t="s">
        <v>24</v>
      </c>
    </row>
    <row r="30" spans="2:21" ht="79.5" customHeight="1">
      <c r="B30" s="129" t="s">
        <v>801</v>
      </c>
      <c r="C30" s="39"/>
      <c r="D30" s="39"/>
      <c r="E30" s="35">
        <v>2024</v>
      </c>
      <c r="F30" s="35">
        <v>2030</v>
      </c>
      <c r="G30" s="153">
        <f>'Kostimi i planit te veprimit'!AD399</f>
        <v>235752130</v>
      </c>
      <c r="H30" s="153">
        <f>'Kostimi i planit te veprimit'!AE399</f>
        <v>6000000</v>
      </c>
      <c r="I30" s="154">
        <f t="shared" si="14"/>
        <v>241752130</v>
      </c>
      <c r="J30" s="153">
        <f>'Kostimi i planit te veprimit'!AG399</f>
        <v>110021000</v>
      </c>
      <c r="K30" s="153">
        <f>'Kostimi i planit te veprimit'!AH399</f>
        <v>0</v>
      </c>
      <c r="L30" s="154">
        <f t="shared" ref="L30:L32" si="17">SUM(J30:K30)</f>
        <v>110021000</v>
      </c>
      <c r="M30" s="153">
        <f>'Kostimi i planit te veprimit'!AJ399</f>
        <v>0</v>
      </c>
      <c r="N30" s="153">
        <f>'Kostimi i planit te veprimit'!AK399</f>
        <v>0</v>
      </c>
      <c r="O30" s="154">
        <f t="shared" ref="O30:O32" si="18">SUM(M30:N30)</f>
        <v>0</v>
      </c>
      <c r="P30" s="153">
        <f>'Kostimi i planit te veprimit'!AN399</f>
        <v>96343770</v>
      </c>
      <c r="Q30" s="153">
        <f>'Kostimi i planit te veprimit'!AO399</f>
        <v>0</v>
      </c>
      <c r="R30" s="154">
        <f t="shared" ref="R30:R32" si="19">SUM(P30:Q30)</f>
        <v>96343770</v>
      </c>
      <c r="S30" s="155">
        <f t="shared" si="15"/>
        <v>-35387360</v>
      </c>
      <c r="T30" s="156">
        <f t="shared" si="16"/>
        <v>2302401.2380952379</v>
      </c>
      <c r="U30" s="2"/>
    </row>
    <row r="31" spans="2:21" ht="41.45" customHeight="1">
      <c r="B31" s="129" t="s">
        <v>873</v>
      </c>
      <c r="C31" s="39"/>
      <c r="D31" s="39"/>
      <c r="E31" s="35">
        <v>2024</v>
      </c>
      <c r="F31" s="35">
        <v>2030</v>
      </c>
      <c r="G31" s="153">
        <f>'Kostimi i planit te veprimit'!AD425</f>
        <v>49480150</v>
      </c>
      <c r="H31" s="153">
        <f>'Kostimi i planit te veprimit'!AE425</f>
        <v>9000000</v>
      </c>
      <c r="I31" s="154">
        <f t="shared" si="14"/>
        <v>58480150</v>
      </c>
      <c r="J31" s="153">
        <f>'Kostimi i planit te veprimit'!AG425</f>
        <v>18494530</v>
      </c>
      <c r="K31" s="153">
        <f>'Kostimi i planit te veprimit'!AH425</f>
        <v>0</v>
      </c>
      <c r="L31" s="154">
        <f t="shared" si="17"/>
        <v>18494530</v>
      </c>
      <c r="M31" s="153">
        <f>'Kostimi i planit te veprimit'!AJ425</f>
        <v>0</v>
      </c>
      <c r="N31" s="153">
        <f>'Kostimi i planit te veprimit'!AK425</f>
        <v>0</v>
      </c>
      <c r="O31" s="154">
        <f t="shared" si="18"/>
        <v>0</v>
      </c>
      <c r="P31" s="153">
        <f>'Kostimi i planit te veprimit'!AN425</f>
        <v>15385620</v>
      </c>
      <c r="Q31" s="153">
        <f>'Kostimi i planit te veprimit'!AO425</f>
        <v>0</v>
      </c>
      <c r="R31" s="154">
        <f t="shared" si="19"/>
        <v>15385620</v>
      </c>
      <c r="S31" s="155">
        <f t="shared" si="15"/>
        <v>-24600000</v>
      </c>
      <c r="T31" s="156">
        <f t="shared" si="16"/>
        <v>556953.80952380947</v>
      </c>
      <c r="U31" s="2"/>
    </row>
    <row r="32" spans="2:21" ht="65.45" customHeight="1">
      <c r="B32" s="129" t="s">
        <v>904</v>
      </c>
      <c r="C32" s="39"/>
      <c r="D32" s="39"/>
      <c r="E32" s="35">
        <v>2024</v>
      </c>
      <c r="F32" s="35">
        <v>2030</v>
      </c>
      <c r="G32" s="153">
        <f>'Kostimi i planit te veprimit'!AD479</f>
        <v>124735795</v>
      </c>
      <c r="H32" s="153">
        <f>'Kostimi i planit te veprimit'!AE479</f>
        <v>1015406000</v>
      </c>
      <c r="I32" s="154">
        <f t="shared" si="14"/>
        <v>1140141795</v>
      </c>
      <c r="J32" s="153">
        <f>'Kostimi i planit te veprimit'!AG479</f>
        <v>43920225</v>
      </c>
      <c r="K32" s="153">
        <f>'Kostimi i planit te veprimit'!AH479</f>
        <v>1005406000</v>
      </c>
      <c r="L32" s="154">
        <f t="shared" si="17"/>
        <v>1049326225</v>
      </c>
      <c r="M32" s="153">
        <f>'Kostimi i planit te veprimit'!AJ479</f>
        <v>0</v>
      </c>
      <c r="N32" s="153">
        <f>'Kostimi i planit te veprimit'!AK479</f>
        <v>0</v>
      </c>
      <c r="O32" s="154">
        <f t="shared" si="18"/>
        <v>0</v>
      </c>
      <c r="P32" s="153">
        <f>'Kostimi i planit te veprimit'!AN479</f>
        <v>38815570</v>
      </c>
      <c r="Q32" s="153">
        <f>'Kostimi i planit te veprimit'!AO479</f>
        <v>0</v>
      </c>
      <c r="R32" s="154">
        <f t="shared" si="19"/>
        <v>38815570</v>
      </c>
      <c r="S32" s="155">
        <f t="shared" si="15"/>
        <v>-52000000</v>
      </c>
      <c r="T32" s="156">
        <f t="shared" si="16"/>
        <v>10858493.285714285</v>
      </c>
      <c r="U32" s="2"/>
    </row>
    <row r="33" spans="2:21" ht="47.45" customHeight="1">
      <c r="B33" s="129" t="s">
        <v>1028</v>
      </c>
      <c r="C33" s="39"/>
      <c r="D33" s="1"/>
      <c r="E33" s="35">
        <v>2024</v>
      </c>
      <c r="F33" s="35">
        <v>2030</v>
      </c>
      <c r="G33" s="153">
        <f>'Kostimi i planit te veprimit'!AD539</f>
        <v>181014556</v>
      </c>
      <c r="H33" s="153">
        <f>'Kostimi i planit te veprimit'!AE539</f>
        <v>768595000</v>
      </c>
      <c r="I33" s="154">
        <f t="shared" si="14"/>
        <v>949609556</v>
      </c>
      <c r="J33" s="153">
        <f>'Kostimi i planit te veprimit'!AG539</f>
        <v>54447534</v>
      </c>
      <c r="K33" s="153">
        <f>'Kostimi i planit te veprimit'!AH539</f>
        <v>731595000</v>
      </c>
      <c r="L33" s="154">
        <f>SUM(J33:K33)</f>
        <v>786042534</v>
      </c>
      <c r="M33" s="153">
        <f>'Kostimi i planit te veprimit'!AJ539</f>
        <v>0</v>
      </c>
      <c r="N33" s="153">
        <f>'Kostimi i planit te veprimit'!AK539</f>
        <v>0</v>
      </c>
      <c r="O33" s="154">
        <f>SUM(M33:N33)</f>
        <v>0</v>
      </c>
      <c r="P33" s="153">
        <f>'Kostimi i planit te veprimit'!AN539</f>
        <v>82770682</v>
      </c>
      <c r="Q33" s="153">
        <f>'Kostimi i planit te veprimit'!AO539</f>
        <v>0</v>
      </c>
      <c r="R33" s="154">
        <f>SUM(P33:Q33)</f>
        <v>82770682</v>
      </c>
      <c r="S33" s="155">
        <f t="shared" si="15"/>
        <v>-80796340</v>
      </c>
      <c r="T33" s="156">
        <f t="shared" si="16"/>
        <v>9043900.5333333332</v>
      </c>
      <c r="U33" s="2">
        <v>0</v>
      </c>
    </row>
    <row r="34" spans="2:21" ht="66.599999999999994" customHeight="1" thickBot="1">
      <c r="B34" s="143" t="s">
        <v>1572</v>
      </c>
      <c r="C34" s="144"/>
      <c r="D34" s="144"/>
      <c r="E34" s="144"/>
      <c r="F34" s="144"/>
      <c r="G34" s="157">
        <f>SUM(G28:G33)</f>
        <v>1114311091</v>
      </c>
      <c r="H34" s="157">
        <f t="shared" ref="H34:U34" si="20">SUM(H28:H33)</f>
        <v>1799001000</v>
      </c>
      <c r="I34" s="157">
        <f t="shared" si="20"/>
        <v>2913312091</v>
      </c>
      <c r="J34" s="157">
        <f t="shared" si="20"/>
        <v>492788969</v>
      </c>
      <c r="K34" s="157">
        <f t="shared" si="20"/>
        <v>1737001000</v>
      </c>
      <c r="L34" s="157">
        <f t="shared" si="20"/>
        <v>2229789969</v>
      </c>
      <c r="M34" s="157">
        <f t="shared" si="20"/>
        <v>0</v>
      </c>
      <c r="N34" s="157">
        <f t="shared" si="20"/>
        <v>0</v>
      </c>
      <c r="O34" s="157">
        <f t="shared" si="20"/>
        <v>0</v>
      </c>
      <c r="P34" s="157">
        <f t="shared" si="20"/>
        <v>490738422</v>
      </c>
      <c r="Q34" s="157">
        <f t="shared" si="20"/>
        <v>0</v>
      </c>
      <c r="R34" s="157">
        <f t="shared" si="20"/>
        <v>490738422</v>
      </c>
      <c r="S34" s="164">
        <f t="shared" si="20"/>
        <v>-192783700</v>
      </c>
      <c r="T34" s="302">
        <f t="shared" si="20"/>
        <v>27745829.438095234</v>
      </c>
      <c r="U34" s="308">
        <f t="shared" si="20"/>
        <v>529017000</v>
      </c>
    </row>
    <row r="35" spans="2:21" ht="64.150000000000006" customHeight="1" thickBot="1">
      <c r="B35" s="892" t="s">
        <v>1159</v>
      </c>
      <c r="C35" s="893"/>
      <c r="D35" s="893"/>
      <c r="E35" s="893"/>
      <c r="F35" s="893"/>
      <c r="G35" s="893"/>
      <c r="H35" s="893"/>
      <c r="I35" s="893"/>
      <c r="J35" s="893"/>
      <c r="K35" s="893"/>
      <c r="L35" s="893"/>
      <c r="M35" s="893"/>
      <c r="N35" s="893"/>
      <c r="O35" s="893"/>
      <c r="P35" s="893"/>
      <c r="Q35" s="893"/>
      <c r="R35" s="893"/>
      <c r="S35" s="893"/>
      <c r="T35" s="894"/>
    </row>
    <row r="36" spans="2:21" ht="37.9" customHeight="1" thickBot="1">
      <c r="B36" s="895" t="s">
        <v>70</v>
      </c>
      <c r="C36" s="880" t="s">
        <v>74</v>
      </c>
      <c r="D36" s="880"/>
      <c r="E36" s="880" t="s">
        <v>54</v>
      </c>
      <c r="F36" s="880"/>
      <c r="G36" s="898" t="s">
        <v>75</v>
      </c>
      <c r="H36" s="899"/>
      <c r="I36" s="900"/>
      <c r="J36" s="881" t="s">
        <v>192</v>
      </c>
      <c r="K36" s="882"/>
      <c r="L36" s="882"/>
      <c r="M36" s="882"/>
      <c r="N36" s="882"/>
      <c r="O36" s="882"/>
      <c r="P36" s="904" t="s">
        <v>65</v>
      </c>
      <c r="Q36" s="905"/>
      <c r="R36" s="906"/>
      <c r="S36" s="907" t="s">
        <v>193</v>
      </c>
      <c r="T36" s="909" t="s">
        <v>1595</v>
      </c>
      <c r="U36" s="3"/>
    </row>
    <row r="37" spans="2:21" ht="25.9" customHeight="1" thickBot="1">
      <c r="B37" s="896"/>
      <c r="C37" s="911" t="s">
        <v>52</v>
      </c>
      <c r="D37" s="911" t="s">
        <v>76</v>
      </c>
      <c r="E37" s="880" t="s">
        <v>55</v>
      </c>
      <c r="F37" s="880" t="s">
        <v>77</v>
      </c>
      <c r="G37" s="901"/>
      <c r="H37" s="902"/>
      <c r="I37" s="903"/>
      <c r="J37" s="881" t="s">
        <v>191</v>
      </c>
      <c r="K37" s="882"/>
      <c r="L37" s="883"/>
      <c r="M37" s="884" t="s">
        <v>171</v>
      </c>
      <c r="N37" s="885"/>
      <c r="O37" s="885"/>
      <c r="P37" s="886" t="s">
        <v>185</v>
      </c>
      <c r="Q37" s="887"/>
      <c r="R37" s="888"/>
      <c r="S37" s="908"/>
      <c r="T37" s="910"/>
      <c r="U37" s="3"/>
    </row>
    <row r="38" spans="2:21" ht="51.6" customHeight="1" thickBot="1">
      <c r="B38" s="897"/>
      <c r="C38" s="912"/>
      <c r="D38" s="912"/>
      <c r="E38" s="880"/>
      <c r="F38" s="880"/>
      <c r="G38" s="139" t="s">
        <v>32</v>
      </c>
      <c r="H38" s="139" t="s">
        <v>33</v>
      </c>
      <c r="I38" s="139" t="s">
        <v>37</v>
      </c>
      <c r="J38" s="145" t="s">
        <v>32</v>
      </c>
      <c r="K38" s="141" t="s">
        <v>33</v>
      </c>
      <c r="L38" s="146" t="s">
        <v>34</v>
      </c>
      <c r="M38" s="135" t="s">
        <v>32</v>
      </c>
      <c r="N38" s="136" t="s">
        <v>33</v>
      </c>
      <c r="O38" s="137" t="s">
        <v>35</v>
      </c>
      <c r="P38" s="138" t="s">
        <v>32</v>
      </c>
      <c r="Q38" s="139" t="s">
        <v>33</v>
      </c>
      <c r="R38" s="140" t="s">
        <v>34</v>
      </c>
      <c r="S38" s="141"/>
      <c r="T38" s="141"/>
      <c r="U38" s="3"/>
    </row>
    <row r="39" spans="2:21" ht="67.900000000000006" customHeight="1">
      <c r="B39" s="130" t="s">
        <v>1160</v>
      </c>
      <c r="C39" s="39"/>
      <c r="D39" s="39"/>
      <c r="E39" s="35">
        <v>2024</v>
      </c>
      <c r="F39" s="35">
        <v>2030</v>
      </c>
      <c r="G39" s="159">
        <f>'Kostimi i planit te veprimit'!AD562</f>
        <v>56023312</v>
      </c>
      <c r="H39" s="159">
        <f>'Kostimi i planit te veprimit'!AE562</f>
        <v>184000000</v>
      </c>
      <c r="I39" s="160">
        <f>SUM(G39:H39)</f>
        <v>240023312</v>
      </c>
      <c r="J39" s="159">
        <f>'Kostimi i planit te veprimit'!AG562</f>
        <v>21428976</v>
      </c>
      <c r="K39" s="159">
        <f>'Kostimi i planit te veprimit'!AH562</f>
        <v>0</v>
      </c>
      <c r="L39" s="160">
        <f>SUM(J39:K39)</f>
        <v>21428976</v>
      </c>
      <c r="M39" s="153">
        <f>'Kostimi i planit te veprimit'!AJ562</f>
        <v>0</v>
      </c>
      <c r="N39" s="153">
        <f>'Kostimi i planit te veprimit'!AK562</f>
        <v>0</v>
      </c>
      <c r="O39" s="162">
        <f>SUM(M39:N39)</f>
        <v>0</v>
      </c>
      <c r="P39" s="153">
        <f>'Kostimi i planit te veprimit'!AN562</f>
        <v>34594336</v>
      </c>
      <c r="Q39" s="153">
        <f>'Kostimi i planit te veprimit'!AO562</f>
        <v>0</v>
      </c>
      <c r="R39" s="162">
        <f>SUM(P39:Q39)</f>
        <v>34594336</v>
      </c>
      <c r="S39" s="163">
        <f>(L39+O39+R39)-I39</f>
        <v>-184000000</v>
      </c>
      <c r="T39" s="156">
        <f>I39/105</f>
        <v>2285936.3047619048</v>
      </c>
      <c r="U39" s="2" t="s">
        <v>28</v>
      </c>
    </row>
    <row r="40" spans="2:21" ht="46.15" customHeight="1">
      <c r="B40" s="130" t="s">
        <v>1425</v>
      </c>
      <c r="C40" s="39"/>
      <c r="D40" s="39"/>
      <c r="E40" s="35">
        <v>2024</v>
      </c>
      <c r="F40" s="35">
        <v>2030</v>
      </c>
      <c r="G40" s="159">
        <f>'Kostimi i planit te veprimit'!AD584</f>
        <v>21863878</v>
      </c>
      <c r="H40" s="159">
        <f>'Kostimi i planit te veprimit'!AE584</f>
        <v>0</v>
      </c>
      <c r="I40" s="160">
        <f t="shared" ref="I40:I41" si="21">SUM(G40:H40)</f>
        <v>21863878</v>
      </c>
      <c r="J40" s="159">
        <f>'Kostimi i planit te veprimit'!AG584</f>
        <v>6393551</v>
      </c>
      <c r="K40" s="159">
        <f>'Kostimi i planit te veprimit'!AH584</f>
        <v>0</v>
      </c>
      <c r="L40" s="160">
        <f t="shared" ref="L40:L41" si="22">SUM(J40:K40)</f>
        <v>6393551</v>
      </c>
      <c r="M40" s="153">
        <f>'Kostimi i planit te veprimit'!AJ584</f>
        <v>0</v>
      </c>
      <c r="N40" s="153">
        <f>'Kostimi i planit te veprimit'!AK584</f>
        <v>0</v>
      </c>
      <c r="O40" s="162">
        <f t="shared" ref="O40:O41" si="23">SUM(M40:N40)</f>
        <v>0</v>
      </c>
      <c r="P40" s="153">
        <f>'Kostimi i planit te veprimit'!AN584</f>
        <v>10070327</v>
      </c>
      <c r="Q40" s="153">
        <f>'Kostimi i planit te veprimit'!AO584</f>
        <v>0</v>
      </c>
      <c r="R40" s="162">
        <f t="shared" ref="R40:R41" si="24">SUM(P40:Q40)</f>
        <v>10070327</v>
      </c>
      <c r="S40" s="163">
        <f t="shared" ref="S40:S41" si="25">(L40+O40+R40)-I40</f>
        <v>-5400000</v>
      </c>
      <c r="T40" s="156">
        <f t="shared" ref="T40:T42" si="26">I40/105</f>
        <v>208227.40952380953</v>
      </c>
      <c r="U40" s="2"/>
    </row>
    <row r="41" spans="2:21" ht="67.900000000000006" customHeight="1">
      <c r="B41" s="130" t="s">
        <v>1579</v>
      </c>
      <c r="C41" s="39"/>
      <c r="D41" s="39"/>
      <c r="E41" s="35">
        <v>2024</v>
      </c>
      <c r="F41" s="35">
        <v>2030</v>
      </c>
      <c r="G41" s="159">
        <f>'Kostimi i planit te veprimit'!AD620</f>
        <v>54680343</v>
      </c>
      <c r="H41" s="159">
        <f>'Kostimi i planit te veprimit'!AE620</f>
        <v>0</v>
      </c>
      <c r="I41" s="160">
        <f t="shared" si="21"/>
        <v>54680343</v>
      </c>
      <c r="J41" s="159">
        <f>'Kostimi i planit te veprimit'!AG620</f>
        <v>25484977</v>
      </c>
      <c r="K41" s="159">
        <f>'Kostimi i planit te veprimit'!AH620</f>
        <v>0</v>
      </c>
      <c r="L41" s="160">
        <f t="shared" si="22"/>
        <v>25484977</v>
      </c>
      <c r="M41" s="153">
        <f>'Kostimi i planit te veprimit'!AJ620</f>
        <v>0</v>
      </c>
      <c r="N41" s="153">
        <f>'Kostimi i planit te veprimit'!AK620</f>
        <v>0</v>
      </c>
      <c r="O41" s="162">
        <f t="shared" si="23"/>
        <v>0</v>
      </c>
      <c r="P41" s="153">
        <f>'Kostimi i planit te veprimit'!AN620</f>
        <v>29195366</v>
      </c>
      <c r="Q41" s="153">
        <f>'Kostimi i planit te veprimit'!AO620</f>
        <v>0</v>
      </c>
      <c r="R41" s="162">
        <f t="shared" si="24"/>
        <v>29195366</v>
      </c>
      <c r="S41" s="163">
        <f t="shared" si="25"/>
        <v>0</v>
      </c>
      <c r="T41" s="156">
        <f t="shared" si="26"/>
        <v>520765.17142857146</v>
      </c>
      <c r="U41" s="2"/>
    </row>
    <row r="42" spans="2:21" ht="72.75" customHeight="1">
      <c r="B42" s="130" t="s">
        <v>1532</v>
      </c>
      <c r="C42" s="39"/>
      <c r="D42" s="1"/>
      <c r="E42" s="35">
        <v>2024</v>
      </c>
      <c r="F42" s="35">
        <v>2030</v>
      </c>
      <c r="G42" s="159">
        <f>'Kostimi i planit te veprimit'!AD641</f>
        <v>17908716</v>
      </c>
      <c r="H42" s="159">
        <f>'Kostimi i planit te veprimit'!AE641</f>
        <v>0</v>
      </c>
      <c r="I42" s="162">
        <f>SUM(G42:H42)</f>
        <v>17908716</v>
      </c>
      <c r="J42" s="159">
        <f>'Kostimi i planit te veprimit'!AG641</f>
        <v>11075164</v>
      </c>
      <c r="K42" s="159">
        <f>'Kostimi i planit te veprimit'!AH641</f>
        <v>0</v>
      </c>
      <c r="L42" s="160">
        <f>SUM(J42:K42)</f>
        <v>11075164</v>
      </c>
      <c r="M42" s="153">
        <f>'Kostimi i planit te veprimit'!AJ641</f>
        <v>0</v>
      </c>
      <c r="N42" s="153">
        <f>'Kostimi i planit te veprimit'!AK641</f>
        <v>0</v>
      </c>
      <c r="O42" s="162">
        <f>SUM(M42:N42)</f>
        <v>0</v>
      </c>
      <c r="P42" s="153">
        <f>'Kostimi i planit te veprimit'!AN641</f>
        <v>7833552</v>
      </c>
      <c r="Q42" s="153">
        <f>'Kostimi i planit te veprimit'!AO641</f>
        <v>0</v>
      </c>
      <c r="R42" s="162">
        <f>SUM(P42:Q42)</f>
        <v>7833552</v>
      </c>
      <c r="S42" s="163">
        <f>(L42+O42+R42)-I42</f>
        <v>1000000</v>
      </c>
      <c r="T42" s="156">
        <f t="shared" si="26"/>
        <v>170559.2</v>
      </c>
      <c r="U42" s="2" t="s">
        <v>28</v>
      </c>
    </row>
    <row r="43" spans="2:21" ht="38.450000000000003" customHeight="1" thickBot="1">
      <c r="B43" s="143" t="s">
        <v>1580</v>
      </c>
      <c r="C43" s="144"/>
      <c r="D43" s="144"/>
      <c r="E43" s="144"/>
      <c r="F43" s="144"/>
      <c r="G43" s="164">
        <f>SUM(G39:G42)</f>
        <v>150476249</v>
      </c>
      <c r="H43" s="164">
        <f t="shared" ref="H43:T43" si="27">SUM(H39:H42)</f>
        <v>184000000</v>
      </c>
      <c r="I43" s="164">
        <f t="shared" si="27"/>
        <v>334476249</v>
      </c>
      <c r="J43" s="164">
        <f t="shared" si="27"/>
        <v>64382668</v>
      </c>
      <c r="K43" s="164">
        <f t="shared" si="27"/>
        <v>0</v>
      </c>
      <c r="L43" s="164">
        <f t="shared" si="27"/>
        <v>64382668</v>
      </c>
      <c r="M43" s="164">
        <f t="shared" si="27"/>
        <v>0</v>
      </c>
      <c r="N43" s="164">
        <f t="shared" si="27"/>
        <v>0</v>
      </c>
      <c r="O43" s="164">
        <f t="shared" si="27"/>
        <v>0</v>
      </c>
      <c r="P43" s="164">
        <f t="shared" si="27"/>
        <v>81693581</v>
      </c>
      <c r="Q43" s="164">
        <f t="shared" si="27"/>
        <v>0</v>
      </c>
      <c r="R43" s="164">
        <f t="shared" si="27"/>
        <v>81693581</v>
      </c>
      <c r="S43" s="164">
        <f t="shared" si="27"/>
        <v>-188400000</v>
      </c>
      <c r="T43" s="164">
        <f t="shared" si="27"/>
        <v>3185488.0857142857</v>
      </c>
      <c r="U43" s="164">
        <f t="shared" ref="U43" si="28">SUM(U39:U42)</f>
        <v>0</v>
      </c>
    </row>
    <row r="44" spans="2:21" ht="64.150000000000006" customHeight="1" thickBot="1">
      <c r="B44" s="892" t="s">
        <v>1581</v>
      </c>
      <c r="C44" s="893"/>
      <c r="D44" s="893"/>
      <c r="E44" s="893"/>
      <c r="F44" s="893"/>
      <c r="G44" s="893"/>
      <c r="H44" s="893"/>
      <c r="I44" s="893"/>
      <c r="J44" s="893"/>
      <c r="K44" s="893"/>
      <c r="L44" s="893"/>
      <c r="M44" s="893"/>
      <c r="N44" s="893"/>
      <c r="O44" s="893"/>
      <c r="P44" s="893"/>
      <c r="Q44" s="893"/>
      <c r="R44" s="893"/>
      <c r="S44" s="893"/>
      <c r="T44" s="894"/>
    </row>
    <row r="45" spans="2:21" ht="37.9" customHeight="1" thickBot="1">
      <c r="B45" s="895" t="s">
        <v>70</v>
      </c>
      <c r="C45" s="880" t="s">
        <v>74</v>
      </c>
      <c r="D45" s="880"/>
      <c r="E45" s="880" t="s">
        <v>54</v>
      </c>
      <c r="F45" s="880"/>
      <c r="G45" s="898" t="s">
        <v>75</v>
      </c>
      <c r="H45" s="899"/>
      <c r="I45" s="900"/>
      <c r="J45" s="881" t="s">
        <v>192</v>
      </c>
      <c r="K45" s="882"/>
      <c r="L45" s="882"/>
      <c r="M45" s="882"/>
      <c r="N45" s="882"/>
      <c r="O45" s="882"/>
      <c r="P45" s="904" t="s">
        <v>65</v>
      </c>
      <c r="Q45" s="905"/>
      <c r="R45" s="906"/>
      <c r="S45" s="907" t="s">
        <v>193</v>
      </c>
      <c r="T45" s="909" t="s">
        <v>1595</v>
      </c>
      <c r="U45" s="3"/>
    </row>
    <row r="46" spans="2:21" ht="25.9" customHeight="1" thickBot="1">
      <c r="B46" s="896"/>
      <c r="C46" s="911" t="s">
        <v>52</v>
      </c>
      <c r="D46" s="911" t="s">
        <v>76</v>
      </c>
      <c r="E46" s="880" t="s">
        <v>55</v>
      </c>
      <c r="F46" s="880" t="s">
        <v>77</v>
      </c>
      <c r="G46" s="901"/>
      <c r="H46" s="902"/>
      <c r="I46" s="903"/>
      <c r="J46" s="881" t="s">
        <v>191</v>
      </c>
      <c r="K46" s="882"/>
      <c r="L46" s="883"/>
      <c r="M46" s="884" t="s">
        <v>171</v>
      </c>
      <c r="N46" s="885"/>
      <c r="O46" s="885"/>
      <c r="P46" s="886" t="s">
        <v>185</v>
      </c>
      <c r="Q46" s="887"/>
      <c r="R46" s="888"/>
      <c r="S46" s="908"/>
      <c r="T46" s="910"/>
      <c r="U46" s="3"/>
    </row>
    <row r="47" spans="2:21" ht="51.6" customHeight="1" thickBot="1">
      <c r="B47" s="897"/>
      <c r="C47" s="912"/>
      <c r="D47" s="912"/>
      <c r="E47" s="880"/>
      <c r="F47" s="880"/>
      <c r="G47" s="139" t="s">
        <v>32</v>
      </c>
      <c r="H47" s="139" t="s">
        <v>33</v>
      </c>
      <c r="I47" s="139" t="s">
        <v>37</v>
      </c>
      <c r="J47" s="145" t="s">
        <v>32</v>
      </c>
      <c r="K47" s="141" t="s">
        <v>33</v>
      </c>
      <c r="L47" s="146" t="s">
        <v>34</v>
      </c>
      <c r="M47" s="135" t="s">
        <v>32</v>
      </c>
      <c r="N47" s="136" t="s">
        <v>33</v>
      </c>
      <c r="O47" s="137" t="s">
        <v>35</v>
      </c>
      <c r="P47" s="138" t="s">
        <v>32</v>
      </c>
      <c r="Q47" s="139" t="s">
        <v>33</v>
      </c>
      <c r="R47" s="140" t="s">
        <v>34</v>
      </c>
      <c r="S47" s="141"/>
      <c r="T47" s="141"/>
      <c r="U47" s="3"/>
    </row>
    <row r="48" spans="2:21" ht="67.900000000000006" customHeight="1">
      <c r="B48" s="130" t="s">
        <v>1582</v>
      </c>
      <c r="C48" s="39"/>
      <c r="D48" s="39"/>
      <c r="E48" s="35">
        <v>2024</v>
      </c>
      <c r="F48" s="35">
        <v>2030</v>
      </c>
      <c r="G48" s="159">
        <f>'Kostimi i planit te veprimit'!AD709</f>
        <v>81034149</v>
      </c>
      <c r="H48" s="159">
        <f>'Kostimi i planit te veprimit'!AE709</f>
        <v>0</v>
      </c>
      <c r="I48" s="160">
        <f>SUM(G48:H48)</f>
        <v>81034149</v>
      </c>
      <c r="J48" s="159">
        <f>'Kostimi i planit te veprimit'!AG709</f>
        <v>26443921</v>
      </c>
      <c r="K48" s="159">
        <f>'Kostimi i planit te veprimit'!AH709</f>
        <v>0</v>
      </c>
      <c r="L48" s="160">
        <f>SUM(J48:K48)</f>
        <v>26443921</v>
      </c>
      <c r="M48" s="161">
        <f>'Kostimi i planit te veprimit'!AJ709</f>
        <v>0</v>
      </c>
      <c r="N48" s="161">
        <f>'Kostimi i planit te veprimit'!AK709</f>
        <v>0</v>
      </c>
      <c r="O48" s="162">
        <f>SUM(M48:N48)</f>
        <v>0</v>
      </c>
      <c r="P48" s="153">
        <f>'Kostimi i planit te veprimit'!AN709</f>
        <v>40490228</v>
      </c>
      <c r="Q48" s="153">
        <f>'Kostimi i planit te veprimit'!AO709</f>
        <v>0</v>
      </c>
      <c r="R48" s="162">
        <f>SUM(P48:Q48)</f>
        <v>40490228</v>
      </c>
      <c r="S48" s="163">
        <f>(L48+O48+R48)-I48</f>
        <v>-14100000</v>
      </c>
      <c r="T48" s="156">
        <f>I48/105</f>
        <v>771753.8</v>
      </c>
      <c r="U48" s="156">
        <f>J48/110</f>
        <v>240399.28181818183</v>
      </c>
    </row>
    <row r="49" spans="2:21" ht="67.900000000000006" customHeight="1">
      <c r="B49" s="130" t="s">
        <v>1305</v>
      </c>
      <c r="C49" s="39"/>
      <c r="D49" s="39"/>
      <c r="E49" s="35">
        <v>2024</v>
      </c>
      <c r="F49" s="35">
        <v>2030</v>
      </c>
      <c r="G49" s="159">
        <f>'Kostimi i planit te veprimit'!AD744</f>
        <v>81740136</v>
      </c>
      <c r="H49" s="159">
        <f>'Kostimi i planit te veprimit'!AE744</f>
        <v>0</v>
      </c>
      <c r="I49" s="160">
        <f>SUM(G49:H49)</f>
        <v>81740136</v>
      </c>
      <c r="J49" s="159">
        <f>'Kostimi i planit te veprimit'!AG744</f>
        <v>16446712</v>
      </c>
      <c r="K49" s="159">
        <f>'Kostimi i planit te veprimit'!AH710</f>
        <v>0</v>
      </c>
      <c r="L49" s="160">
        <f>SUM(J49:K49)</f>
        <v>16446712</v>
      </c>
      <c r="M49" s="161">
        <f>'Kostimi i planit te veprimit'!AJ744</f>
        <v>0</v>
      </c>
      <c r="N49" s="161">
        <f>'Kostimi i planit te veprimit'!AK744</f>
        <v>0</v>
      </c>
      <c r="O49" s="162">
        <f>SUM(M49:N49)</f>
        <v>0</v>
      </c>
      <c r="P49" s="153">
        <f>'Kostimi i planit te veprimit'!AN744</f>
        <v>46453424</v>
      </c>
      <c r="Q49" s="153">
        <f>'Kostimi i planit te veprimit'!AO744</f>
        <v>0</v>
      </c>
      <c r="R49" s="162">
        <f>SUM(P49:Q49)</f>
        <v>46453424</v>
      </c>
      <c r="S49" s="163">
        <f>(L49+O49+R49)-I49</f>
        <v>-18840000</v>
      </c>
      <c r="T49" s="156">
        <f t="shared" ref="T49:T50" si="29">I49/105</f>
        <v>778477.48571428575</v>
      </c>
      <c r="U49" s="2"/>
    </row>
    <row r="50" spans="2:21" ht="72.75" customHeight="1">
      <c r="B50" s="130" t="s">
        <v>1583</v>
      </c>
      <c r="C50" s="39"/>
      <c r="D50" s="1"/>
      <c r="E50" s="35">
        <v>2024</v>
      </c>
      <c r="F50" s="35">
        <v>2030</v>
      </c>
      <c r="G50" s="159">
        <f>'Kostimi i planit te veprimit'!AD763</f>
        <v>177943170</v>
      </c>
      <c r="H50" s="159">
        <f>'Kostimi i planit te veprimit'!AE763</f>
        <v>0</v>
      </c>
      <c r="I50" s="162">
        <f>SUM(G50:H50)</f>
        <v>177943170</v>
      </c>
      <c r="J50" s="159">
        <f>'Kostimi i planit te veprimit'!AG763</f>
        <v>32736634</v>
      </c>
      <c r="K50" s="159">
        <f>'Kostimi i planit te veprimit'!AH711</f>
        <v>0</v>
      </c>
      <c r="L50" s="160">
        <f>SUM(J50:K50)</f>
        <v>32736634</v>
      </c>
      <c r="M50" s="161">
        <f>'Kostimi i planit te veprimit'!AJ763</f>
        <v>0</v>
      </c>
      <c r="N50" s="161">
        <f>'Kostimi i planit te veprimit'!AK763</f>
        <v>0</v>
      </c>
      <c r="O50" s="162">
        <f>SUM(M50:N50)</f>
        <v>0</v>
      </c>
      <c r="P50" s="153">
        <f>'Kostimi i planit te veprimit'!AN763</f>
        <v>122386536</v>
      </c>
      <c r="Q50" s="153">
        <f>'Kostimi i planit te veprimit'!AO763</f>
        <v>0</v>
      </c>
      <c r="R50" s="162">
        <f>SUM(P50:Q50)</f>
        <v>122386536</v>
      </c>
      <c r="S50" s="163">
        <f>(L50+O50+R50)-I50</f>
        <v>-22820000</v>
      </c>
      <c r="T50" s="156">
        <f t="shared" si="29"/>
        <v>1694696.857142857</v>
      </c>
      <c r="U50" s="2" t="s">
        <v>28</v>
      </c>
    </row>
    <row r="51" spans="2:21" ht="38.450000000000003" customHeight="1" thickBot="1">
      <c r="B51" s="143" t="s">
        <v>1576</v>
      </c>
      <c r="C51" s="144"/>
      <c r="D51" s="144"/>
      <c r="E51" s="144"/>
      <c r="F51" s="144"/>
      <c r="G51" s="164">
        <f t="shared" ref="G51:U51" si="30">SUM(G48:G50)</f>
        <v>340717455</v>
      </c>
      <c r="H51" s="164">
        <f t="shared" si="30"/>
        <v>0</v>
      </c>
      <c r="I51" s="164">
        <f t="shared" si="30"/>
        <v>340717455</v>
      </c>
      <c r="J51" s="164">
        <f t="shared" si="30"/>
        <v>75627267</v>
      </c>
      <c r="K51" s="164">
        <f t="shared" si="30"/>
        <v>0</v>
      </c>
      <c r="L51" s="164">
        <f t="shared" si="30"/>
        <v>75627267</v>
      </c>
      <c r="M51" s="164">
        <f t="shared" si="30"/>
        <v>0</v>
      </c>
      <c r="N51" s="164">
        <f t="shared" si="30"/>
        <v>0</v>
      </c>
      <c r="O51" s="164">
        <f t="shared" si="30"/>
        <v>0</v>
      </c>
      <c r="P51" s="164">
        <f t="shared" si="30"/>
        <v>209330188</v>
      </c>
      <c r="Q51" s="164">
        <f t="shared" si="30"/>
        <v>0</v>
      </c>
      <c r="R51" s="164">
        <f t="shared" si="30"/>
        <v>209330188</v>
      </c>
      <c r="S51" s="164">
        <f t="shared" si="30"/>
        <v>-55760000</v>
      </c>
      <c r="T51" s="164">
        <f t="shared" si="30"/>
        <v>3244928.1428571427</v>
      </c>
      <c r="U51" s="164">
        <f t="shared" si="30"/>
        <v>240399.28181818183</v>
      </c>
    </row>
    <row r="52" spans="2:21" ht="47.45" customHeight="1">
      <c r="B52" s="889" t="s">
        <v>1577</v>
      </c>
      <c r="C52" s="890"/>
      <c r="D52" s="890"/>
      <c r="E52" s="890"/>
      <c r="F52" s="891"/>
      <c r="G52" s="165">
        <f>G51+G43+G34+G23+G13</f>
        <v>2484847970.1999998</v>
      </c>
      <c r="H52" s="165">
        <f t="shared" ref="H52:R52" si="31">H51+H43+H34+H23+H13</f>
        <v>1983001000</v>
      </c>
      <c r="I52" s="165">
        <f t="shared" si="31"/>
        <v>4467848970.1999998</v>
      </c>
      <c r="J52" s="165">
        <f t="shared" si="31"/>
        <v>1116161589.2</v>
      </c>
      <c r="K52" s="165">
        <f t="shared" si="31"/>
        <v>1737001000</v>
      </c>
      <c r="L52" s="165">
        <f t="shared" si="31"/>
        <v>2853162589.1999998</v>
      </c>
      <c r="M52" s="165">
        <f t="shared" si="31"/>
        <v>0</v>
      </c>
      <c r="N52" s="165">
        <f t="shared" si="31"/>
        <v>0</v>
      </c>
      <c r="O52" s="165">
        <f t="shared" si="31"/>
        <v>0</v>
      </c>
      <c r="P52" s="166">
        <f t="shared" si="31"/>
        <v>1138394541</v>
      </c>
      <c r="Q52" s="166">
        <f t="shared" si="31"/>
        <v>0</v>
      </c>
      <c r="R52" s="166">
        <f t="shared" si="31"/>
        <v>1138394541</v>
      </c>
      <c r="S52" s="166">
        <f t="shared" ref="S52:T52" si="32">S51+S43+S34+S23+S13</f>
        <v>-476291840</v>
      </c>
      <c r="T52" s="166">
        <f t="shared" si="32"/>
        <v>42550942.57333333</v>
      </c>
      <c r="U52" s="40" t="e">
        <f>#REF!+#REF!+#REF!+U43+U34+U23+U13</f>
        <v>#REF!</v>
      </c>
    </row>
    <row r="54" spans="2:21" ht="21">
      <c r="L54" s="319"/>
      <c r="P54" s="313"/>
      <c r="S54" s="181"/>
    </row>
    <row r="55" spans="2:21">
      <c r="P55" s="36"/>
    </row>
    <row r="57" spans="2:21">
      <c r="P57" s="36"/>
    </row>
    <row r="59" spans="2:21" ht="18.75">
      <c r="J59" s="249"/>
      <c r="K59" s="249" t="s">
        <v>47</v>
      </c>
      <c r="L59" s="249" t="s">
        <v>48</v>
      </c>
      <c r="M59" s="249" t="s">
        <v>179</v>
      </c>
      <c r="N59" s="314"/>
    </row>
    <row r="60" spans="2:21" ht="18.75">
      <c r="G60" s="16" t="s">
        <v>85</v>
      </c>
      <c r="H60" s="17">
        <f>I52</f>
        <v>4467848970.1999998</v>
      </c>
      <c r="J60" s="249" t="s">
        <v>43</v>
      </c>
      <c r="K60" s="249">
        <f>G13</f>
        <v>429547445.19999999</v>
      </c>
      <c r="L60" s="249">
        <f>H13</f>
        <v>0</v>
      </c>
      <c r="M60" s="250">
        <f>(K60+L60)/H60</f>
        <v>9.6141890217200349E-2</v>
      </c>
      <c r="N60" s="314"/>
    </row>
    <row r="61" spans="2:21" ht="18.75">
      <c r="G61" s="16" t="s">
        <v>245</v>
      </c>
      <c r="H61" s="17">
        <f>L52</f>
        <v>2853162589.1999998</v>
      </c>
      <c r="I61" s="12"/>
      <c r="J61" s="249" t="s">
        <v>44</v>
      </c>
      <c r="K61" s="249">
        <f>G23</f>
        <v>449795730</v>
      </c>
      <c r="L61" s="249">
        <f>H23</f>
        <v>0</v>
      </c>
      <c r="M61" s="250">
        <f>(K61+L61)/H60</f>
        <v>0.10067388871022317</v>
      </c>
      <c r="N61" s="314"/>
    </row>
    <row r="62" spans="2:21" ht="30">
      <c r="G62" s="16" t="s">
        <v>100</v>
      </c>
      <c r="H62" s="17">
        <f>O52</f>
        <v>0</v>
      </c>
      <c r="I62" s="12"/>
      <c r="J62" s="249" t="s">
        <v>45</v>
      </c>
      <c r="K62" s="249">
        <f>G34</f>
        <v>1114311091</v>
      </c>
      <c r="L62" s="249">
        <f>H34</f>
        <v>1799001000</v>
      </c>
      <c r="M62" s="250">
        <f>(K62+L62)/H60</f>
        <v>0.65206145293438333</v>
      </c>
      <c r="N62" s="314"/>
    </row>
    <row r="63" spans="2:21" ht="18.75">
      <c r="G63" s="16" t="s">
        <v>246</v>
      </c>
      <c r="H63" s="17">
        <f>R52</f>
        <v>1138394541</v>
      </c>
      <c r="I63" s="12"/>
      <c r="J63" s="249" t="s">
        <v>46</v>
      </c>
      <c r="K63" s="249">
        <f>G43</f>
        <v>150476249</v>
      </c>
      <c r="L63" s="249">
        <f>H43</f>
        <v>184000000</v>
      </c>
      <c r="M63" s="250">
        <f>(K63+L63)/H60</f>
        <v>7.4862926484515299E-2</v>
      </c>
      <c r="N63" s="314"/>
    </row>
    <row r="64" spans="2:21" ht="36" customHeight="1">
      <c r="G64" s="16" t="s">
        <v>247</v>
      </c>
      <c r="H64" s="17">
        <f>S52</f>
        <v>-476291840</v>
      </c>
      <c r="I64" s="12"/>
      <c r="J64" s="249" t="s">
        <v>1603</v>
      </c>
      <c r="K64" s="249">
        <f>G51</f>
        <v>340717455</v>
      </c>
      <c r="L64" s="249">
        <f>H51</f>
        <v>0</v>
      </c>
      <c r="M64" s="250">
        <f>(K64+L64)/H60</f>
        <v>7.6259841653677926E-2</v>
      </c>
      <c r="N64" s="314"/>
    </row>
    <row r="65" spans="7:13">
      <c r="J65" s="43"/>
      <c r="K65" s="43"/>
      <c r="L65" s="43"/>
      <c r="M65" s="44"/>
    </row>
    <row r="66" spans="7:13">
      <c r="J66" s="43"/>
      <c r="K66" s="43"/>
      <c r="L66" s="43"/>
      <c r="M66" s="44"/>
    </row>
    <row r="67" spans="7:13" ht="18.75">
      <c r="I67" s="247">
        <f>H64/H60</f>
        <v>-0.10660428389070617</v>
      </c>
      <c r="J67" s="43"/>
      <c r="K67" s="43"/>
      <c r="L67" s="43"/>
      <c r="M67" s="44"/>
    </row>
    <row r="68" spans="7:13">
      <c r="H68" s="36"/>
    </row>
    <row r="75" spans="7:13">
      <c r="G75" s="18" t="s">
        <v>38</v>
      </c>
      <c r="H75" s="18">
        <f>G52</f>
        <v>2484847970.1999998</v>
      </c>
      <c r="I75" s="45">
        <f>H75/H77</f>
        <v>0.5561620338497627</v>
      </c>
    </row>
    <row r="76" spans="7:13">
      <c r="G76" s="18" t="s">
        <v>39</v>
      </c>
      <c r="H76" s="18">
        <f>H52</f>
        <v>1983001000</v>
      </c>
      <c r="I76" s="45">
        <f>H76/H77</f>
        <v>0.4438379661502373</v>
      </c>
    </row>
    <row r="77" spans="7:13">
      <c r="G77" s="18" t="s">
        <v>40</v>
      </c>
      <c r="H77" s="18">
        <f>I52</f>
        <v>4467848970.1999998</v>
      </c>
    </row>
  </sheetData>
  <mergeCells count="85">
    <mergeCell ref="B24:T24"/>
    <mergeCell ref="C25:D25"/>
    <mergeCell ref="E25:F25"/>
    <mergeCell ref="J25:O25"/>
    <mergeCell ref="S25:S26"/>
    <mergeCell ref="J26:L26"/>
    <mergeCell ref="M26:O26"/>
    <mergeCell ref="G25:I26"/>
    <mergeCell ref="B25:B27"/>
    <mergeCell ref="C26:C27"/>
    <mergeCell ref="D26:D27"/>
    <mergeCell ref="P25:R25"/>
    <mergeCell ref="T25:T26"/>
    <mergeCell ref="P26:R26"/>
    <mergeCell ref="T15:T16"/>
    <mergeCell ref="E16:E17"/>
    <mergeCell ref="F16:F17"/>
    <mergeCell ref="P16:R16"/>
    <mergeCell ref="C6:D6"/>
    <mergeCell ref="E6:F6"/>
    <mergeCell ref="G6:I7"/>
    <mergeCell ref="M7:O7"/>
    <mergeCell ref="J6:O6"/>
    <mergeCell ref="B2:T2"/>
    <mergeCell ref="B14:T14"/>
    <mergeCell ref="C3:D3"/>
    <mergeCell ref="B6:B8"/>
    <mergeCell ref="B5:T5"/>
    <mergeCell ref="S6:S7"/>
    <mergeCell ref="C7:C8"/>
    <mergeCell ref="P6:R6"/>
    <mergeCell ref="T6:T7"/>
    <mergeCell ref="P7:R7"/>
    <mergeCell ref="D7:D8"/>
    <mergeCell ref="E3:F3"/>
    <mergeCell ref="J3:O3"/>
    <mergeCell ref="E7:E8"/>
    <mergeCell ref="F7:F8"/>
    <mergeCell ref="J7:L7"/>
    <mergeCell ref="B15:B17"/>
    <mergeCell ref="E15:F15"/>
    <mergeCell ref="J15:O15"/>
    <mergeCell ref="S15:S16"/>
    <mergeCell ref="J16:L16"/>
    <mergeCell ref="M16:O16"/>
    <mergeCell ref="G15:I16"/>
    <mergeCell ref="C16:C17"/>
    <mergeCell ref="P15:R15"/>
    <mergeCell ref="D16:D17"/>
    <mergeCell ref="C15:D15"/>
    <mergeCell ref="G36:I37"/>
    <mergeCell ref="J37:L37"/>
    <mergeCell ref="M37:O37"/>
    <mergeCell ref="B35:T35"/>
    <mergeCell ref="C36:D36"/>
    <mergeCell ref="E36:F36"/>
    <mergeCell ref="J36:O36"/>
    <mergeCell ref="S36:S37"/>
    <mergeCell ref="B36:B38"/>
    <mergeCell ref="C37:C38"/>
    <mergeCell ref="D37:D38"/>
    <mergeCell ref="T36:T37"/>
    <mergeCell ref="P37:R37"/>
    <mergeCell ref="P36:R36"/>
    <mergeCell ref="B52:F52"/>
    <mergeCell ref="E26:E27"/>
    <mergeCell ref="F26:F27"/>
    <mergeCell ref="E37:E38"/>
    <mergeCell ref="F37:F38"/>
    <mergeCell ref="B44:T44"/>
    <mergeCell ref="B45:B47"/>
    <mergeCell ref="C45:D45"/>
    <mergeCell ref="E45:F45"/>
    <mergeCell ref="G45:I46"/>
    <mergeCell ref="J45:O45"/>
    <mergeCell ref="P45:R45"/>
    <mergeCell ref="S45:S46"/>
    <mergeCell ref="T45:T46"/>
    <mergeCell ref="C46:C47"/>
    <mergeCell ref="D46:D47"/>
    <mergeCell ref="E46:E47"/>
    <mergeCell ref="F46:F47"/>
    <mergeCell ref="J46:L46"/>
    <mergeCell ref="M46:O46"/>
    <mergeCell ref="P46:R46"/>
  </mergeCells>
  <pageMargins left="0.7" right="0.7" top="0.75" bottom="0.75" header="0.3" footer="0.3"/>
  <pageSetup paperSize="9" scale="25" fitToHeight="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H20"/>
  <sheetViews>
    <sheetView workbookViewId="0">
      <selection activeCell="F16" sqref="A2:F17"/>
    </sheetView>
  </sheetViews>
  <sheetFormatPr defaultRowHeight="15"/>
  <cols>
    <col min="1" max="1" width="49.7109375" customWidth="1"/>
    <col min="2" max="2" width="12" customWidth="1"/>
    <col min="3" max="3" width="13.42578125" customWidth="1"/>
    <col min="4" max="4" width="16.140625" customWidth="1"/>
    <col min="5" max="5" width="15.140625" customWidth="1"/>
    <col min="6" max="6" width="14.85546875" customWidth="1"/>
    <col min="7" max="7" width="27.140625" customWidth="1"/>
    <col min="8" max="8" width="12.28515625" bestFit="1" customWidth="1"/>
  </cols>
  <sheetData>
    <row r="1" spans="1:8" ht="15.75" thickBot="1">
      <c r="A1" s="944" t="s">
        <v>1602</v>
      </c>
      <c r="B1" s="944"/>
      <c r="C1" s="944"/>
      <c r="D1" s="944"/>
      <c r="E1" s="944"/>
      <c r="F1" s="944"/>
    </row>
    <row r="2" spans="1:8" ht="24">
      <c r="A2" s="947" t="s">
        <v>80</v>
      </c>
      <c r="B2" s="949" t="s">
        <v>79</v>
      </c>
      <c r="C2" s="776" t="s">
        <v>81</v>
      </c>
      <c r="D2" s="776" t="s">
        <v>84</v>
      </c>
      <c r="E2" s="776" t="s">
        <v>82</v>
      </c>
      <c r="F2" s="777" t="s">
        <v>78</v>
      </c>
    </row>
    <row r="3" spans="1:8">
      <c r="A3" s="948"/>
      <c r="B3" s="950"/>
      <c r="C3" s="778" t="s">
        <v>194</v>
      </c>
      <c r="D3" s="778" t="s">
        <v>195</v>
      </c>
      <c r="E3" s="778" t="s">
        <v>83</v>
      </c>
      <c r="F3" s="779" t="s">
        <v>194</v>
      </c>
    </row>
    <row r="4" spans="1:8" ht="24.75" thickBot="1">
      <c r="A4" s="948"/>
      <c r="B4" s="950"/>
      <c r="C4" s="780"/>
      <c r="D4" s="778" t="s">
        <v>248</v>
      </c>
      <c r="E4" s="778" t="s">
        <v>196</v>
      </c>
      <c r="F4" s="781"/>
    </row>
    <row r="5" spans="1:8" ht="18" customHeight="1">
      <c r="A5" s="951" t="s">
        <v>1586</v>
      </c>
      <c r="B5" s="782" t="s">
        <v>32</v>
      </c>
      <c r="C5" s="783">
        <f>'Totali_Qellimet politike'!G13</f>
        <v>429547445.19999999</v>
      </c>
      <c r="D5" s="783">
        <f>'Totali_Qellimet politike'!J13+'Totali_Qellimet politike'!M13</f>
        <v>266921855.19999999</v>
      </c>
      <c r="E5" s="783">
        <f>'Totali_Qellimet politike'!P13</f>
        <v>160225590</v>
      </c>
      <c r="F5" s="945">
        <f>(C5+C6)-(D5+D6)-(E5+E6)</f>
        <v>2400000</v>
      </c>
      <c r="G5" s="19"/>
    </row>
    <row r="6" spans="1:8" ht="24.75" customHeight="1" thickBot="1">
      <c r="A6" s="951"/>
      <c r="B6" s="784" t="s">
        <v>33</v>
      </c>
      <c r="C6" s="785">
        <f>'Totali_Qellimet politike'!H13</f>
        <v>0</v>
      </c>
      <c r="D6" s="785">
        <f>'Totali_Qellimet politike'!K13+'Totali_Qellimet politike'!N13</f>
        <v>0</v>
      </c>
      <c r="E6" s="785">
        <f>'Totali_Qellimet politike'!Q13</f>
        <v>0</v>
      </c>
      <c r="F6" s="946"/>
    </row>
    <row r="7" spans="1:8">
      <c r="A7" s="951" t="s">
        <v>1585</v>
      </c>
      <c r="B7" s="782" t="s">
        <v>32</v>
      </c>
      <c r="C7" s="783">
        <f>'Totali_Qellimet politike'!G23</f>
        <v>449795730</v>
      </c>
      <c r="D7" s="783">
        <f>'Totali_Qellimet politike'!J23+'Totali_Qellimet politike'!M23</f>
        <v>216440830</v>
      </c>
      <c r="E7" s="783">
        <f>'Totali_Qellimet politike'!P23</f>
        <v>196406760</v>
      </c>
      <c r="F7" s="945">
        <f t="shared" ref="F7:F11" si="0">(C7+C8)-(D7+D8)-(E7+E8)</f>
        <v>36948140</v>
      </c>
      <c r="G7" s="19"/>
      <c r="H7" s="19"/>
    </row>
    <row r="8" spans="1:8" ht="43.15" customHeight="1" thickBot="1">
      <c r="A8" s="951"/>
      <c r="B8" s="784" t="s">
        <v>33</v>
      </c>
      <c r="C8" s="785">
        <f>'Totali_Qellimet politike'!H23</f>
        <v>0</v>
      </c>
      <c r="D8" s="785">
        <f>'Totali_Qellimet politike'!K23+'Totali_Qellimet politike'!N23</f>
        <v>0</v>
      </c>
      <c r="E8" s="785">
        <f>'Totali_Qellimet politike'!Q23</f>
        <v>0</v>
      </c>
      <c r="F8" s="946"/>
      <c r="G8" s="19"/>
    </row>
    <row r="9" spans="1:8">
      <c r="A9" s="951" t="s">
        <v>706</v>
      </c>
      <c r="B9" s="782" t="s">
        <v>32</v>
      </c>
      <c r="C9" s="783">
        <f>'Totali_Qellimet politike'!G34</f>
        <v>1114311091</v>
      </c>
      <c r="D9" s="783">
        <f>'Totali_Qellimet politike'!J34+'Totali_Qellimet politike'!M34</f>
        <v>492788969</v>
      </c>
      <c r="E9" s="783">
        <f>'Totali_Qellimet politike'!P34</f>
        <v>490738422</v>
      </c>
      <c r="F9" s="945">
        <f t="shared" si="0"/>
        <v>192783700</v>
      </c>
      <c r="G9" s="20"/>
    </row>
    <row r="10" spans="1:8" ht="20.25" customHeight="1" thickBot="1">
      <c r="A10" s="951"/>
      <c r="B10" s="784" t="s">
        <v>33</v>
      </c>
      <c r="C10" s="785">
        <f>'Totali_Qellimet politike'!H34</f>
        <v>1799001000</v>
      </c>
      <c r="D10" s="785">
        <f>'Totali_Qellimet politike'!K34+'Totali_Qellimet politike'!N34</f>
        <v>1737001000</v>
      </c>
      <c r="E10" s="785">
        <f>'Totali_Qellimet politike'!Q34</f>
        <v>0</v>
      </c>
      <c r="F10" s="946"/>
      <c r="G10" s="19"/>
    </row>
    <row r="11" spans="1:8" ht="20.25" customHeight="1">
      <c r="A11" s="958" t="s">
        <v>1584</v>
      </c>
      <c r="B11" s="786" t="s">
        <v>32</v>
      </c>
      <c r="C11" s="787">
        <f>'Totali_Qellimet politike'!G43</f>
        <v>150476249</v>
      </c>
      <c r="D11" s="787">
        <f>'Totali_Qellimet politike'!J43+'Totali_Qellimet politike'!M43</f>
        <v>64382668</v>
      </c>
      <c r="E11" s="787">
        <f>'Totali_Qellimet politike'!P43</f>
        <v>81693581</v>
      </c>
      <c r="F11" s="788">
        <f t="shared" si="0"/>
        <v>188400000</v>
      </c>
      <c r="G11" s="19"/>
    </row>
    <row r="12" spans="1:8" ht="20.25" customHeight="1" thickBot="1">
      <c r="A12" s="959"/>
      <c r="B12" s="784" t="s">
        <v>33</v>
      </c>
      <c r="C12" s="785">
        <f>'Totali_Qellimet politike'!H43</f>
        <v>184000000</v>
      </c>
      <c r="D12" s="785">
        <f>'Totali_Qellimet politike'!K36+'Totali_Qellimet politike'!N36</f>
        <v>0</v>
      </c>
      <c r="E12" s="785">
        <f>'Totali_Qellimet politike'!Q43</f>
        <v>0</v>
      </c>
      <c r="F12" s="788"/>
      <c r="G12" s="19"/>
    </row>
    <row r="13" spans="1:8">
      <c r="A13" s="951" t="s">
        <v>1581</v>
      </c>
      <c r="B13" s="782" t="s">
        <v>32</v>
      </c>
      <c r="C13" s="783">
        <f>'Totali_Qellimet politike'!G51</f>
        <v>340717455</v>
      </c>
      <c r="D13" s="783">
        <f>'Totali_Qellimet politike'!J51+'Totali_Qellimet politike'!M51</f>
        <v>75627267</v>
      </c>
      <c r="E13" s="783">
        <f>'Totali_Qellimet politike'!P51</f>
        <v>209330188</v>
      </c>
      <c r="F13" s="945">
        <f t="shared" ref="F13" si="1">(C13+C14)-(D13+D14)-(E13+E14)</f>
        <v>55760000</v>
      </c>
      <c r="G13" s="19"/>
    </row>
    <row r="14" spans="1:8" ht="25.9" customHeight="1" thickBot="1">
      <c r="A14" s="951"/>
      <c r="B14" s="784" t="s">
        <v>33</v>
      </c>
      <c r="C14" s="785">
        <f>'Totali_Qellimet politike'!H51</f>
        <v>0</v>
      </c>
      <c r="D14" s="785">
        <f>'Totali_Qellimet politike'!K51+'Totali_Qellimet politike'!N51</f>
        <v>0</v>
      </c>
      <c r="E14" s="785">
        <f>'Totali_Qellimet politike'!Q51</f>
        <v>0</v>
      </c>
      <c r="F14" s="946"/>
      <c r="G14" s="19"/>
    </row>
    <row r="15" spans="1:8" ht="15.75" thickBot="1">
      <c r="A15" s="789" t="s">
        <v>49</v>
      </c>
      <c r="B15" s="790"/>
      <c r="C15" s="791">
        <f>SUM(C5:C14)</f>
        <v>4467848970.1999998</v>
      </c>
      <c r="D15" s="791">
        <f>SUM(D5:D14)</f>
        <v>2853162589.1999998</v>
      </c>
      <c r="E15" s="791">
        <f>SUM(E5:E14)</f>
        <v>1138394541</v>
      </c>
      <c r="F15" s="792">
        <f>SUM(F5:F14)</f>
        <v>476291840</v>
      </c>
      <c r="G15" s="248"/>
      <c r="H15" s="19"/>
    </row>
    <row r="16" spans="1:8">
      <c r="A16" s="793" t="s">
        <v>50</v>
      </c>
      <c r="B16" s="952"/>
      <c r="C16" s="954">
        <f>C15/105</f>
        <v>42550942.57333333</v>
      </c>
      <c r="D16" s="954">
        <f>D15/105</f>
        <v>27172977.039999999</v>
      </c>
      <c r="E16" s="954">
        <f>E15/105</f>
        <v>10841852.771428572</v>
      </c>
      <c r="F16" s="956">
        <f>F15/105</f>
        <v>4536112.7619047621</v>
      </c>
      <c r="G16" s="19"/>
    </row>
    <row r="17" spans="1:8" ht="15.75" thickBot="1">
      <c r="A17" s="794" t="s">
        <v>1597</v>
      </c>
      <c r="B17" s="953"/>
      <c r="C17" s="955"/>
      <c r="D17" s="955"/>
      <c r="E17" s="955"/>
      <c r="F17" s="957"/>
      <c r="H17" s="19"/>
    </row>
    <row r="18" spans="1:8">
      <c r="H18" s="19"/>
    </row>
    <row r="19" spans="1:8">
      <c r="D19" s="19"/>
      <c r="E19" s="19"/>
    </row>
    <row r="20" spans="1:8">
      <c r="D20">
        <f>D15/C15</f>
        <v>0.6385987100795576</v>
      </c>
      <c r="E20">
        <f>E15/C15</f>
        <v>0.25479700602973621</v>
      </c>
    </row>
  </sheetData>
  <mergeCells count="17">
    <mergeCell ref="A9:A10"/>
    <mergeCell ref="B16:B17"/>
    <mergeCell ref="C16:C17"/>
    <mergeCell ref="D16:D17"/>
    <mergeCell ref="F16:F17"/>
    <mergeCell ref="E16:E17"/>
    <mergeCell ref="F9:F10"/>
    <mergeCell ref="A13:A14"/>
    <mergeCell ref="F13:F14"/>
    <mergeCell ref="A11:A12"/>
    <mergeCell ref="A1:F1"/>
    <mergeCell ref="F7:F8"/>
    <mergeCell ref="A2:A4"/>
    <mergeCell ref="B2:B4"/>
    <mergeCell ref="A5:A6"/>
    <mergeCell ref="F5:F6"/>
    <mergeCell ref="A7:A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C1F9C0E4809C4BB82ABFEA4B5F853B" ma:contentTypeVersion="12" ma:contentTypeDescription="Create a new document." ma:contentTypeScope="" ma:versionID="89a51f5763ae4c3590746807f55b0b9f">
  <xsd:schema xmlns:xsd="http://www.w3.org/2001/XMLSchema" xmlns:xs="http://www.w3.org/2001/XMLSchema" xmlns:p="http://schemas.microsoft.com/office/2006/metadata/properties" xmlns:ns3="2b1215b7-65ab-452b-a2d8-466eef7b1bd6" xmlns:ns4="7855ac9c-f22b-465b-be02-f7394e585a71" targetNamespace="http://schemas.microsoft.com/office/2006/metadata/properties" ma:root="true" ma:fieldsID="fd2301a59a6fa8634fbe7b1e3d1a4dfb" ns3:_="" ns4:_="">
    <xsd:import namespace="2b1215b7-65ab-452b-a2d8-466eef7b1bd6"/>
    <xsd:import namespace="7855ac9c-f22b-465b-be02-f7394e585a7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_activity"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1215b7-65ab-452b-a2d8-466eef7b1b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_activity" ma:index="16"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55ac9c-f22b-465b-be02-f7394e585a7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2b1215b7-65ab-452b-a2d8-466eef7b1bd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1F4CDA-2A11-462B-826A-68072AB930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1215b7-65ab-452b-a2d8-466eef7b1bd6"/>
    <ds:schemaRef ds:uri="7855ac9c-f22b-465b-be02-f7394e585a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62BC78-12A9-43DB-BA8E-B996DE8C2EB7}">
  <ds:schemaRefs>
    <ds:schemaRef ds:uri="http://purl.org/dc/terms/"/>
    <ds:schemaRef ds:uri="2b1215b7-65ab-452b-a2d8-466eef7b1bd6"/>
    <ds:schemaRef ds:uri="http://schemas.microsoft.com/office/2006/documentManagement/types"/>
    <ds:schemaRef ds:uri="http://purl.org/dc/elements/1.1/"/>
    <ds:schemaRef ds:uri="http://www.w3.org/XML/1998/namespace"/>
    <ds:schemaRef ds:uri="http://purl.org/dc/dcmitype/"/>
    <ds:schemaRef ds:uri="http://schemas.microsoft.com/office/2006/metadata/properties"/>
    <ds:schemaRef ds:uri="7855ac9c-f22b-465b-be02-f7394e585a7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72FD9277-FF38-4BCB-9759-57911EA261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vt:i4>
      </vt:variant>
      <vt:variant>
        <vt:lpstr>Charts</vt:lpstr>
      </vt:variant>
      <vt:variant>
        <vt:i4>3</vt:i4>
      </vt:variant>
      <vt:variant>
        <vt:lpstr>Named Ranges</vt:lpstr>
      </vt:variant>
      <vt:variant>
        <vt:i4>1</vt:i4>
      </vt:variant>
    </vt:vector>
  </HeadingPairs>
  <TitlesOfParts>
    <vt:vector size="7" baseType="lpstr">
      <vt:lpstr>Kostimi i planit te veprimit</vt:lpstr>
      <vt:lpstr>Totali_Qellimet politike</vt:lpstr>
      <vt:lpstr>Nevojat kapitale</vt:lpstr>
      <vt:lpstr>Grafik Kostot</vt:lpstr>
      <vt:lpstr>Grafik-Ndarja e kostove</vt:lpstr>
      <vt:lpstr>Grafik_ Qellimet e politikave</vt:lpstr>
      <vt:lpstr>'Nevojat kapitale'!_Hlk14952534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Oriana Arapi</dc:creator>
  <cp:lastModifiedBy>Nertila Kaja</cp:lastModifiedBy>
  <cp:lastPrinted>2024-09-11T08:55:07Z</cp:lastPrinted>
  <dcterms:created xsi:type="dcterms:W3CDTF">2019-02-21T16:54:35Z</dcterms:created>
  <dcterms:modified xsi:type="dcterms:W3CDTF">2024-09-12T12:14:25Z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0x010100A9C1F9C0E4809C4BB82ABFEA4B5F853B</vt:lpwstr>
  </property>
</Properties>
</file>