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autoCompressPictures="0"/>
  <mc:AlternateContent xmlns:mc="http://schemas.openxmlformats.org/markup-compatibility/2006">
    <mc:Choice Requires="x15">
      <x15ac:absPath xmlns:x15ac="http://schemas.microsoft.com/office/spreadsheetml/2010/11/ac" url="C:\Users\margarita.vogli\Desktop\Paketa e Planit të Veprimit Sig në Komunitet\"/>
    </mc:Choice>
  </mc:AlternateContent>
  <xr:revisionPtr revIDLastSave="0" documentId="13_ncr:1_{162B0959-A182-4253-9658-88683666D942}" xr6:coauthVersionLast="36" xr6:coauthVersionMax="47" xr10:uidLastSave="{00000000-0000-0000-0000-000000000000}"/>
  <bookViews>
    <workbookView xWindow="-120" yWindow="-120" windowWidth="25440" windowHeight="15390" tabRatio="821" xr2:uid="{00000000-000D-0000-FFFF-FFFF00000000}"/>
  </bookViews>
  <sheets>
    <sheet name="Kostimi i Planit te Veprimit" sheetId="2" r:id="rId1"/>
    <sheet name="Totali i Qellimeve te Politikav" sheetId="3" r:id="rId2"/>
    <sheet name="Nevojat kapitale" sheetId="18" r:id="rId3"/>
    <sheet name="Grafiku i kostove" sheetId="14" r:id="rId4"/>
    <sheet name="Ndarja e kostove" sheetId="15" r:id="rId5"/>
    <sheet name="Kosto per Qellimet e Politikave" sheetId="16" r:id="rId6"/>
  </sheets>
  <definedNames>
    <definedName name="_xlnm._FilterDatabase" localSheetId="0" hidden="1">'Kostimi i Planit te Veprimit'!$B$6:$C$223</definedName>
    <definedName name="_Hlk14952534" localSheetId="2">'Nevojat kapitale'!$C$12</definedName>
  </definedNames>
  <calcPr calcId="191029"/>
</workbook>
</file>

<file path=xl/calcChain.xml><?xml version="1.0" encoding="utf-8"?>
<calcChain xmlns="http://schemas.openxmlformats.org/spreadsheetml/2006/main">
  <c r="H31" i="3" l="1"/>
  <c r="AB32" i="2" l="1"/>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12" i="2"/>
  <c r="AB13" i="2"/>
  <c r="AB14" i="2"/>
  <c r="AB15" i="2"/>
  <c r="AB16" i="2"/>
  <c r="AB17" i="2"/>
  <c r="AB18" i="2"/>
  <c r="AB20" i="2"/>
  <c r="AB21" i="2"/>
  <c r="AB22" i="2"/>
  <c r="AB24" i="2"/>
  <c r="AB25" i="2"/>
  <c r="AB26" i="2"/>
  <c r="AB27" i="2"/>
  <c r="S73" i="2"/>
  <c r="K80" i="2"/>
  <c r="N80" i="2"/>
  <c r="Q80" i="2"/>
  <c r="Y80" i="2"/>
  <c r="Z80" i="2"/>
  <c r="AA80" i="2"/>
  <c r="J80" i="2"/>
  <c r="K128" i="2"/>
  <c r="N128" i="2"/>
  <c r="P128" i="2"/>
  <c r="Q128" i="2"/>
  <c r="Y128" i="2"/>
  <c r="Z128" i="2"/>
  <c r="AA128" i="2"/>
  <c r="J128" i="2"/>
  <c r="AB122" i="2"/>
  <c r="S122" i="2"/>
  <c r="T122" i="2"/>
  <c r="W122" i="2" s="1"/>
  <c r="P122" i="2"/>
  <c r="R122" i="2" s="1"/>
  <c r="M122" i="2"/>
  <c r="O122" i="2" s="1"/>
  <c r="L122" i="2"/>
  <c r="J122" i="2"/>
  <c r="O109" i="2"/>
  <c r="L109" i="2"/>
  <c r="R109" i="2"/>
  <c r="R108" i="2"/>
  <c r="O108" i="2"/>
  <c r="L108" i="2"/>
  <c r="R83" i="2"/>
  <c r="O83" i="2"/>
  <c r="L83" i="2"/>
  <c r="AB104" i="2"/>
  <c r="AB103" i="2"/>
  <c r="AB102" i="2"/>
  <c r="AB101" i="2"/>
  <c r="AB100" i="2"/>
  <c r="AB99" i="2"/>
  <c r="AB98" i="2"/>
  <c r="AB97" i="2"/>
  <c r="AB95" i="2"/>
  <c r="AB94" i="2"/>
  <c r="AB93" i="2"/>
  <c r="AB92" i="2"/>
  <c r="AB91" i="2"/>
  <c r="AB90" i="2"/>
  <c r="AB89" i="2"/>
  <c r="AB88" i="2"/>
  <c r="AB87" i="2"/>
  <c r="AB86" i="2"/>
  <c r="AB85" i="2"/>
  <c r="AB84" i="2"/>
  <c r="AB83" i="2"/>
  <c r="AB219" i="2"/>
  <c r="AB220" i="2"/>
  <c r="AB217" i="2"/>
  <c r="AB203" i="2"/>
  <c r="AB204" i="2"/>
  <c r="AB205" i="2"/>
  <c r="AB207" i="2"/>
  <c r="AB208" i="2"/>
  <c r="AB209" i="2"/>
  <c r="AB210" i="2"/>
  <c r="AB211" i="2"/>
  <c r="AB212" i="2"/>
  <c r="AB202" i="2"/>
  <c r="AB172" i="2"/>
  <c r="AB173" i="2"/>
  <c r="AB174" i="2"/>
  <c r="AB175" i="2"/>
  <c r="AB176" i="2"/>
  <c r="AB177" i="2"/>
  <c r="AB178" i="2"/>
  <c r="AB179" i="2"/>
  <c r="AB180" i="2"/>
  <c r="AB181" i="2"/>
  <c r="AB182" i="2"/>
  <c r="AB183" i="2"/>
  <c r="AB184" i="2"/>
  <c r="AB185" i="2"/>
  <c r="AB186" i="2"/>
  <c r="AB187" i="2"/>
  <c r="AB163" i="2"/>
  <c r="AB164" i="2"/>
  <c r="AB165" i="2"/>
  <c r="AB166" i="2"/>
  <c r="AB167" i="2"/>
  <c r="AB168" i="2"/>
  <c r="AB169" i="2"/>
  <c r="AB170" i="2"/>
  <c r="AB171" i="2"/>
  <c r="AB162" i="2"/>
  <c r="AB138" i="2"/>
  <c r="AB139" i="2"/>
  <c r="AB140" i="2"/>
  <c r="AB141" i="2"/>
  <c r="AB142" i="2"/>
  <c r="AB143" i="2"/>
  <c r="AB144" i="2"/>
  <c r="AB145" i="2"/>
  <c r="AB146" i="2"/>
  <c r="AB147" i="2"/>
  <c r="AB148" i="2"/>
  <c r="AB149" i="2"/>
  <c r="AB150" i="2"/>
  <c r="AB151" i="2"/>
  <c r="AB152" i="2"/>
  <c r="AB153" i="2"/>
  <c r="AB154" i="2"/>
  <c r="AB155" i="2"/>
  <c r="AB156" i="2"/>
  <c r="AB157" i="2"/>
  <c r="AB158" i="2"/>
  <c r="AB137" i="2"/>
  <c r="AB106" i="2"/>
  <c r="AB107" i="2"/>
  <c r="AB108" i="2"/>
  <c r="AB109" i="2"/>
  <c r="AB110" i="2"/>
  <c r="AB111" i="2"/>
  <c r="AB112" i="2"/>
  <c r="AB113" i="2"/>
  <c r="AB114" i="2"/>
  <c r="AB115" i="2"/>
  <c r="AB116" i="2"/>
  <c r="AB117" i="2"/>
  <c r="AB118" i="2"/>
  <c r="AB119" i="2"/>
  <c r="AB120" i="2"/>
  <c r="AB121" i="2"/>
  <c r="AB123" i="2"/>
  <c r="AB124" i="2"/>
  <c r="AB125" i="2"/>
  <c r="AB126" i="2"/>
  <c r="S217" i="2"/>
  <c r="T217" i="2"/>
  <c r="W217" i="2" s="1"/>
  <c r="S219" i="2"/>
  <c r="T219" i="2"/>
  <c r="W219" i="2" s="1"/>
  <c r="S220" i="2"/>
  <c r="V220" i="2" s="1"/>
  <c r="T220" i="2"/>
  <c r="T216" i="2"/>
  <c r="Z216" i="2" s="1"/>
  <c r="S216" i="2"/>
  <c r="T212" i="2"/>
  <c r="W212" i="2" s="1"/>
  <c r="T211" i="2"/>
  <c r="W211" i="2" s="1"/>
  <c r="S211" i="2"/>
  <c r="T210" i="2"/>
  <c r="W210" i="2" s="1"/>
  <c r="S210" i="2"/>
  <c r="T209" i="2"/>
  <c r="W209" i="2" s="1"/>
  <c r="T208" i="2"/>
  <c r="W208" i="2" s="1"/>
  <c r="S208" i="2"/>
  <c r="T207" i="2"/>
  <c r="W207" i="2" s="1"/>
  <c r="S207" i="2"/>
  <c r="S203" i="2"/>
  <c r="T203" i="2"/>
  <c r="W203" i="2" s="1"/>
  <c r="S204" i="2"/>
  <c r="V204" i="2" s="1"/>
  <c r="T204" i="2"/>
  <c r="S205" i="2"/>
  <c r="V205" i="2" s="1"/>
  <c r="T205" i="2"/>
  <c r="W205" i="2" s="1"/>
  <c r="T202" i="2"/>
  <c r="W202" i="2" s="1"/>
  <c r="S202" i="2"/>
  <c r="S192" i="2"/>
  <c r="V192" i="2" s="1"/>
  <c r="T192" i="2"/>
  <c r="W192" i="2" s="1"/>
  <c r="T191" i="2"/>
  <c r="W191" i="2" s="1"/>
  <c r="S191" i="2"/>
  <c r="S187" i="2"/>
  <c r="V187" i="2" s="1"/>
  <c r="T174" i="2"/>
  <c r="W174" i="2" s="1"/>
  <c r="T175" i="2"/>
  <c r="W175" i="2" s="1"/>
  <c r="T176" i="2"/>
  <c r="W176" i="2" s="1"/>
  <c r="T177" i="2"/>
  <c r="W177" i="2" s="1"/>
  <c r="T178" i="2"/>
  <c r="W178" i="2" s="1"/>
  <c r="T179" i="2"/>
  <c r="W179" i="2" s="1"/>
  <c r="S180" i="2"/>
  <c r="T180" i="2"/>
  <c r="W180" i="2" s="1"/>
  <c r="S181" i="2"/>
  <c r="T181" i="2"/>
  <c r="W181" i="2" s="1"/>
  <c r="S182" i="2"/>
  <c r="T182" i="2"/>
  <c r="W182" i="2" s="1"/>
  <c r="S183" i="2"/>
  <c r="T183" i="2"/>
  <c r="W183" i="2" s="1"/>
  <c r="S184" i="2"/>
  <c r="T184" i="2"/>
  <c r="W184" i="2" s="1"/>
  <c r="S185" i="2"/>
  <c r="T185" i="2"/>
  <c r="W185" i="2" s="1"/>
  <c r="S186" i="2"/>
  <c r="T186" i="2"/>
  <c r="W186" i="2" s="1"/>
  <c r="T187" i="2"/>
  <c r="T173" i="2"/>
  <c r="W173" i="2" s="1"/>
  <c r="T163" i="2"/>
  <c r="W163" i="2" s="1"/>
  <c r="S164" i="2"/>
  <c r="T164" i="2"/>
  <c r="W164" i="2" s="1"/>
  <c r="S165" i="2"/>
  <c r="V165" i="2" s="1"/>
  <c r="T165" i="2"/>
  <c r="W165" i="2" s="1"/>
  <c r="S166" i="2"/>
  <c r="T166" i="2"/>
  <c r="W166" i="2" s="1"/>
  <c r="T167" i="2"/>
  <c r="W167" i="2" s="1"/>
  <c r="T168" i="2"/>
  <c r="W168" i="2" s="1"/>
  <c r="S169" i="2"/>
  <c r="V169" i="2" s="1"/>
  <c r="T169" i="2"/>
  <c r="W169" i="2" s="1"/>
  <c r="S170" i="2"/>
  <c r="T170" i="2"/>
  <c r="W170" i="2" s="1"/>
  <c r="S171" i="2"/>
  <c r="T171" i="2"/>
  <c r="W171" i="2" s="1"/>
  <c r="T162" i="2"/>
  <c r="W162" i="2" s="1"/>
  <c r="S162" i="2"/>
  <c r="T158" i="2"/>
  <c r="W158" i="2" s="1"/>
  <c r="S158" i="2"/>
  <c r="T157" i="2"/>
  <c r="W157" i="2" s="1"/>
  <c r="T156" i="2"/>
  <c r="W156" i="2" s="1"/>
  <c r="S156" i="2"/>
  <c r="T155" i="2"/>
  <c r="W155" i="2" s="1"/>
  <c r="S155" i="2"/>
  <c r="T154" i="2"/>
  <c r="W154" i="2" s="1"/>
  <c r="S154" i="2"/>
  <c r="T153" i="2"/>
  <c r="W153" i="2" s="1"/>
  <c r="T152" i="2"/>
  <c r="W152" i="2" s="1"/>
  <c r="T151" i="2"/>
  <c r="W151" i="2" s="1"/>
  <c r="T150" i="2"/>
  <c r="W150" i="2" s="1"/>
  <c r="T149" i="2"/>
  <c r="W149" i="2" s="1"/>
  <c r="S149" i="2"/>
  <c r="T138" i="2"/>
  <c r="W138" i="2" s="1"/>
  <c r="S139" i="2"/>
  <c r="V139" i="2" s="1"/>
  <c r="T139" i="2"/>
  <c r="S140" i="2"/>
  <c r="T140" i="2"/>
  <c r="W140" i="2" s="1"/>
  <c r="S141" i="2"/>
  <c r="V141" i="2" s="1"/>
  <c r="T141" i="2"/>
  <c r="T142" i="2"/>
  <c r="W142" i="2" s="1"/>
  <c r="S143" i="2"/>
  <c r="V143" i="2" s="1"/>
  <c r="T143" i="2"/>
  <c r="S144" i="2"/>
  <c r="T144" i="2"/>
  <c r="W144" i="2" s="1"/>
  <c r="S145" i="2"/>
  <c r="V145" i="2" s="1"/>
  <c r="T145" i="2"/>
  <c r="S146" i="2"/>
  <c r="T146" i="2"/>
  <c r="W146" i="2" s="1"/>
  <c r="S147" i="2"/>
  <c r="V147" i="2" s="1"/>
  <c r="T147" i="2"/>
  <c r="T137" i="2"/>
  <c r="W137" i="2" s="1"/>
  <c r="S137" i="2"/>
  <c r="S126" i="2"/>
  <c r="V126" i="2" s="1"/>
  <c r="T126" i="2"/>
  <c r="S127" i="2"/>
  <c r="T127" i="2"/>
  <c r="W127" i="2" s="1"/>
  <c r="T125" i="2"/>
  <c r="W125" i="2" s="1"/>
  <c r="S125" i="2"/>
  <c r="T124" i="2"/>
  <c r="S124" i="2"/>
  <c r="T121" i="2"/>
  <c r="W121" i="2" s="1"/>
  <c r="S121" i="2"/>
  <c r="T120" i="2"/>
  <c r="W120" i="2" s="1"/>
  <c r="S120" i="2"/>
  <c r="T119" i="2"/>
  <c r="W119" i="2" s="1"/>
  <c r="S119" i="2"/>
  <c r="T118" i="2"/>
  <c r="W118" i="2" s="1"/>
  <c r="S118" i="2"/>
  <c r="T117" i="2"/>
  <c r="W117" i="2" s="1"/>
  <c r="S117" i="2"/>
  <c r="T116" i="2"/>
  <c r="W116" i="2" s="1"/>
  <c r="S116" i="2"/>
  <c r="T115" i="2"/>
  <c r="W115" i="2" s="1"/>
  <c r="S115" i="2"/>
  <c r="T114" i="2"/>
  <c r="W114" i="2" s="1"/>
  <c r="S114" i="2"/>
  <c r="S98" i="2"/>
  <c r="T98" i="2"/>
  <c r="W98" i="2" s="1"/>
  <c r="S99" i="2"/>
  <c r="V99" i="2" s="1"/>
  <c r="T99" i="2"/>
  <c r="W99" i="2" s="1"/>
  <c r="S100" i="2"/>
  <c r="T100" i="2"/>
  <c r="W100" i="2" s="1"/>
  <c r="S101" i="2"/>
  <c r="T101" i="2"/>
  <c r="W101" i="2" s="1"/>
  <c r="S102" i="2"/>
  <c r="T102" i="2"/>
  <c r="W102" i="2" s="1"/>
  <c r="S103" i="2"/>
  <c r="T103" i="2"/>
  <c r="W103" i="2" s="1"/>
  <c r="S104" i="2"/>
  <c r="T104" i="2"/>
  <c r="W104" i="2" s="1"/>
  <c r="S105" i="2"/>
  <c r="V105" i="2" s="1"/>
  <c r="T105" i="2"/>
  <c r="W105" i="2" s="1"/>
  <c r="S106" i="2"/>
  <c r="T106" i="2"/>
  <c r="W106" i="2" s="1"/>
  <c r="T107" i="2"/>
  <c r="W107" i="2" s="1"/>
  <c r="S108" i="2"/>
  <c r="T108" i="2"/>
  <c r="W108" i="2" s="1"/>
  <c r="S109" i="2"/>
  <c r="T109" i="2"/>
  <c r="W109" i="2" s="1"/>
  <c r="S110" i="2"/>
  <c r="T110" i="2"/>
  <c r="W110" i="2" s="1"/>
  <c r="S111" i="2"/>
  <c r="V111" i="2" s="1"/>
  <c r="T111" i="2"/>
  <c r="W111" i="2" s="1"/>
  <c r="S112" i="2"/>
  <c r="T112" i="2"/>
  <c r="W112" i="2" s="1"/>
  <c r="T97" i="2"/>
  <c r="W97" i="2" s="1"/>
  <c r="S97" i="2"/>
  <c r="S84" i="2"/>
  <c r="T84" i="2"/>
  <c r="W84" i="2" s="1"/>
  <c r="S85" i="2"/>
  <c r="T85" i="2"/>
  <c r="W85" i="2" s="1"/>
  <c r="S86" i="2"/>
  <c r="T86" i="2"/>
  <c r="W86" i="2" s="1"/>
  <c r="S87" i="2"/>
  <c r="T87" i="2"/>
  <c r="W87" i="2" s="1"/>
  <c r="S88" i="2"/>
  <c r="T88" i="2"/>
  <c r="W88" i="2" s="1"/>
  <c r="S89" i="2"/>
  <c r="T89" i="2"/>
  <c r="W89" i="2" s="1"/>
  <c r="S90" i="2"/>
  <c r="T90" i="2"/>
  <c r="W90" i="2" s="1"/>
  <c r="S91" i="2"/>
  <c r="V91" i="2" s="1"/>
  <c r="T91" i="2"/>
  <c r="W91" i="2" s="1"/>
  <c r="S92" i="2"/>
  <c r="T92" i="2"/>
  <c r="W92" i="2" s="1"/>
  <c r="S93" i="2"/>
  <c r="T93" i="2"/>
  <c r="W93" i="2" s="1"/>
  <c r="T94" i="2"/>
  <c r="W94" i="2" s="1"/>
  <c r="T95" i="2"/>
  <c r="W95" i="2" s="1"/>
  <c r="T83" i="2"/>
  <c r="W83" i="2" s="1"/>
  <c r="S83" i="2"/>
  <c r="T58" i="2"/>
  <c r="W58" i="2" s="1"/>
  <c r="S58" i="2"/>
  <c r="T79" i="2"/>
  <c r="W79" i="2" s="1"/>
  <c r="S79" i="2"/>
  <c r="T78" i="2"/>
  <c r="W78" i="2" s="1"/>
  <c r="S78" i="2"/>
  <c r="T77" i="2"/>
  <c r="W77" i="2" s="1"/>
  <c r="S77" i="2"/>
  <c r="T76" i="2"/>
  <c r="W76" i="2" s="1"/>
  <c r="S76" i="2"/>
  <c r="T75" i="2"/>
  <c r="W75" i="2" s="1"/>
  <c r="T74" i="2"/>
  <c r="W74" i="2" s="1"/>
  <c r="T73" i="2"/>
  <c r="T72" i="2"/>
  <c r="W72" i="2" s="1"/>
  <c r="S72" i="2"/>
  <c r="T71" i="2"/>
  <c r="W71" i="2" s="1"/>
  <c r="S71" i="2"/>
  <c r="T70" i="2"/>
  <c r="W70" i="2" s="1"/>
  <c r="S70" i="2"/>
  <c r="T69" i="2"/>
  <c r="W69" i="2" s="1"/>
  <c r="T68" i="2"/>
  <c r="W68" i="2" s="1"/>
  <c r="T67" i="2"/>
  <c r="W67" i="2" s="1"/>
  <c r="T66" i="2"/>
  <c r="W66" i="2" s="1"/>
  <c r="T65" i="2"/>
  <c r="W65" i="2" s="1"/>
  <c r="T64" i="2"/>
  <c r="W64" i="2" s="1"/>
  <c r="S64" i="2"/>
  <c r="T63" i="2"/>
  <c r="W63" i="2" s="1"/>
  <c r="T62" i="2"/>
  <c r="W62" i="2" s="1"/>
  <c r="S62" i="2"/>
  <c r="T61" i="2"/>
  <c r="W61" i="2" s="1"/>
  <c r="S61" i="2"/>
  <c r="T60" i="2"/>
  <c r="W60" i="2" s="1"/>
  <c r="S60" i="2"/>
  <c r="T59" i="2"/>
  <c r="W59" i="2" s="1"/>
  <c r="S45" i="2"/>
  <c r="T45" i="2"/>
  <c r="W45" i="2" s="1"/>
  <c r="S46" i="2"/>
  <c r="T46" i="2"/>
  <c r="W46" i="2" s="1"/>
  <c r="T47" i="2"/>
  <c r="W47" i="2" s="1"/>
  <c r="S48" i="2"/>
  <c r="V48" i="2" s="1"/>
  <c r="T48" i="2"/>
  <c r="W48" i="2" s="1"/>
  <c r="S49" i="2"/>
  <c r="T49" i="2"/>
  <c r="W49" i="2" s="1"/>
  <c r="S50" i="2"/>
  <c r="T50" i="2"/>
  <c r="W50" i="2" s="1"/>
  <c r="T51" i="2"/>
  <c r="W51" i="2" s="1"/>
  <c r="T52" i="2"/>
  <c r="W52" i="2" s="1"/>
  <c r="S53" i="2"/>
  <c r="T53" i="2"/>
  <c r="W53" i="2" s="1"/>
  <c r="S54" i="2"/>
  <c r="T54" i="2"/>
  <c r="W54" i="2" s="1"/>
  <c r="S55" i="2"/>
  <c r="T55" i="2"/>
  <c r="W55" i="2" s="1"/>
  <c r="S56" i="2"/>
  <c r="V56" i="2" s="1"/>
  <c r="T56" i="2"/>
  <c r="W56" i="2" s="1"/>
  <c r="T44" i="2"/>
  <c r="W44" i="2" s="1"/>
  <c r="S32" i="2"/>
  <c r="V32" i="2" s="1"/>
  <c r="T32" i="2"/>
  <c r="W32" i="2" s="1"/>
  <c r="T33" i="2"/>
  <c r="W33" i="2" s="1"/>
  <c r="S34" i="2"/>
  <c r="T34" i="2"/>
  <c r="W34" i="2" s="1"/>
  <c r="T35" i="2"/>
  <c r="W35" i="2" s="1"/>
  <c r="S36" i="2"/>
  <c r="T36" i="2"/>
  <c r="W36" i="2" s="1"/>
  <c r="S37" i="2"/>
  <c r="T37" i="2"/>
  <c r="W37" i="2" s="1"/>
  <c r="S38" i="2"/>
  <c r="T38" i="2"/>
  <c r="W38" i="2" s="1"/>
  <c r="S39" i="2"/>
  <c r="T39" i="2"/>
  <c r="W39" i="2" s="1"/>
  <c r="S40" i="2"/>
  <c r="T40" i="2"/>
  <c r="W40" i="2" s="1"/>
  <c r="T41" i="2"/>
  <c r="W41" i="2" s="1"/>
  <c r="S42" i="2"/>
  <c r="T42" i="2"/>
  <c r="W42" i="2" s="1"/>
  <c r="T31" i="2"/>
  <c r="W31" i="2" s="1"/>
  <c r="S31" i="2"/>
  <c r="V31" i="2" s="1"/>
  <c r="R32" i="2"/>
  <c r="R34" i="2"/>
  <c r="R36" i="2"/>
  <c r="R37" i="2"/>
  <c r="R38" i="2"/>
  <c r="R39" i="2"/>
  <c r="R40" i="2"/>
  <c r="R42" i="2"/>
  <c r="R31" i="2"/>
  <c r="T11" i="2"/>
  <c r="S11" i="2"/>
  <c r="AB31" i="2"/>
  <c r="R84" i="2"/>
  <c r="R85" i="2"/>
  <c r="R86" i="2"/>
  <c r="R87" i="2"/>
  <c r="R88" i="2"/>
  <c r="R89" i="2"/>
  <c r="R90" i="2"/>
  <c r="R91" i="2"/>
  <c r="R92" i="2"/>
  <c r="R93" i="2"/>
  <c r="R94" i="2"/>
  <c r="R95" i="2"/>
  <c r="O84" i="2"/>
  <c r="O85" i="2"/>
  <c r="O86" i="2"/>
  <c r="O87" i="2"/>
  <c r="O88" i="2"/>
  <c r="O89" i="2"/>
  <c r="O90" i="2"/>
  <c r="O91" i="2"/>
  <c r="O92" i="2"/>
  <c r="O93" i="2"/>
  <c r="L84" i="2"/>
  <c r="L85" i="2"/>
  <c r="L86" i="2"/>
  <c r="L87" i="2"/>
  <c r="L88" i="2"/>
  <c r="L89" i="2"/>
  <c r="L90" i="2"/>
  <c r="L91" i="2"/>
  <c r="L92" i="2"/>
  <c r="L93" i="2"/>
  <c r="L94" i="2"/>
  <c r="L95" i="2"/>
  <c r="P41" i="2"/>
  <c r="R41" i="2" s="1"/>
  <c r="M41" i="2"/>
  <c r="J41" i="2"/>
  <c r="S41" i="2" s="1"/>
  <c r="O137" i="2"/>
  <c r="O139" i="2"/>
  <c r="O140" i="2"/>
  <c r="O141" i="2"/>
  <c r="O143" i="2"/>
  <c r="O144" i="2"/>
  <c r="O145" i="2"/>
  <c r="O146" i="2"/>
  <c r="O147" i="2"/>
  <c r="L139" i="2"/>
  <c r="L140" i="2"/>
  <c r="L141" i="2"/>
  <c r="L143" i="2"/>
  <c r="L144" i="2"/>
  <c r="L145" i="2"/>
  <c r="L146" i="2"/>
  <c r="L147" i="2"/>
  <c r="L137" i="2"/>
  <c r="R127" i="2"/>
  <c r="R126" i="2"/>
  <c r="R125" i="2"/>
  <c r="S25" i="2"/>
  <c r="S26" i="2"/>
  <c r="S27" i="2"/>
  <c r="S24" i="2"/>
  <c r="S21" i="2"/>
  <c r="S22" i="2"/>
  <c r="S20" i="2"/>
  <c r="S12" i="2"/>
  <c r="S13" i="2"/>
  <c r="S15" i="2"/>
  <c r="S16" i="2"/>
  <c r="S17" i="2"/>
  <c r="S18" i="2"/>
  <c r="P74" i="2"/>
  <c r="P73" i="2"/>
  <c r="M74" i="2"/>
  <c r="M73" i="2"/>
  <c r="J74" i="2"/>
  <c r="S74" i="2" s="1"/>
  <c r="J73" i="2"/>
  <c r="O53" i="2"/>
  <c r="L45" i="2"/>
  <c r="L46" i="2"/>
  <c r="L48" i="2"/>
  <c r="L49" i="2"/>
  <c r="L50" i="2"/>
  <c r="L53" i="2"/>
  <c r="L54" i="2"/>
  <c r="L55" i="2"/>
  <c r="L56" i="2"/>
  <c r="L32" i="2"/>
  <c r="L34" i="2"/>
  <c r="L36" i="2"/>
  <c r="L37" i="2"/>
  <c r="L38" i="2"/>
  <c r="L39" i="2"/>
  <c r="L40" i="2"/>
  <c r="L41" i="2"/>
  <c r="L42" i="2"/>
  <c r="O32" i="2"/>
  <c r="O34" i="2"/>
  <c r="O36" i="2"/>
  <c r="O37" i="2"/>
  <c r="O38" i="2"/>
  <c r="O39" i="2"/>
  <c r="O40" i="2"/>
  <c r="O41" i="2"/>
  <c r="O42" i="2"/>
  <c r="P35" i="2"/>
  <c r="R35" i="2" s="1"/>
  <c r="R25" i="2"/>
  <c r="R26" i="2"/>
  <c r="R27" i="2"/>
  <c r="O25" i="2"/>
  <c r="O26" i="2"/>
  <c r="O27" i="2"/>
  <c r="O21" i="2"/>
  <c r="O22" i="2"/>
  <c r="R21" i="2"/>
  <c r="R22" i="2"/>
  <c r="R12" i="2"/>
  <c r="R13" i="2"/>
  <c r="R15" i="2"/>
  <c r="R16" i="2"/>
  <c r="R17" i="2"/>
  <c r="R18" i="2"/>
  <c r="R11" i="2"/>
  <c r="O12" i="2"/>
  <c r="O13" i="2"/>
  <c r="O15" i="2"/>
  <c r="O16" i="2"/>
  <c r="O17" i="2"/>
  <c r="O18" i="2"/>
  <c r="L21" i="2"/>
  <c r="L22" i="2"/>
  <c r="L23" i="2"/>
  <c r="L24" i="2"/>
  <c r="L25" i="2"/>
  <c r="L26" i="2"/>
  <c r="L27" i="2"/>
  <c r="L20" i="2"/>
  <c r="L12" i="2"/>
  <c r="L13" i="2"/>
  <c r="L15" i="2"/>
  <c r="L16" i="2"/>
  <c r="L17" i="2"/>
  <c r="L18" i="2"/>
  <c r="P52" i="2"/>
  <c r="P51" i="2"/>
  <c r="M52" i="2"/>
  <c r="M51" i="2"/>
  <c r="J51" i="2"/>
  <c r="S51" i="2" s="1"/>
  <c r="J52" i="2"/>
  <c r="S52" i="2" s="1"/>
  <c r="L124" i="2"/>
  <c r="U219" i="2" l="1"/>
  <c r="U147" i="2"/>
  <c r="U143" i="2"/>
  <c r="U101" i="2"/>
  <c r="U40" i="2"/>
  <c r="U38" i="2"/>
  <c r="V101" i="2"/>
  <c r="X101" i="2" s="1"/>
  <c r="U144" i="2"/>
  <c r="U180" i="2"/>
  <c r="U187" i="2"/>
  <c r="U34" i="2"/>
  <c r="U42" i="2"/>
  <c r="U54" i="2"/>
  <c r="U171" i="2"/>
  <c r="U11" i="2"/>
  <c r="U32" i="2"/>
  <c r="U48" i="2"/>
  <c r="U87" i="2"/>
  <c r="U85" i="2"/>
  <c r="X111" i="2"/>
  <c r="U109" i="2"/>
  <c r="U140" i="2"/>
  <c r="X169" i="2"/>
  <c r="U170" i="2"/>
  <c r="V42" i="2"/>
  <c r="X42" i="2" s="1"/>
  <c r="U56" i="2"/>
  <c r="V54" i="2"/>
  <c r="X54" i="2" s="1"/>
  <c r="U164" i="2"/>
  <c r="U183" i="2"/>
  <c r="AB80" i="2"/>
  <c r="X31" i="2"/>
  <c r="U50" i="2"/>
  <c r="V87" i="2"/>
  <c r="X87" i="2" s="1"/>
  <c r="U104" i="2"/>
  <c r="V140" i="2"/>
  <c r="X140" i="2" s="1"/>
  <c r="U139" i="2"/>
  <c r="V40" i="2"/>
  <c r="X40" i="2" s="1"/>
  <c r="U36" i="2"/>
  <c r="V34" i="2"/>
  <c r="X34" i="2" s="1"/>
  <c r="U45" i="2"/>
  <c r="U89" i="2"/>
  <c r="U86" i="2"/>
  <c r="U103" i="2"/>
  <c r="U100" i="2"/>
  <c r="U186" i="2"/>
  <c r="U184" i="2"/>
  <c r="U181" i="2"/>
  <c r="U204" i="2"/>
  <c r="U39" i="2"/>
  <c r="U37" i="2"/>
  <c r="U46" i="2"/>
  <c r="U111" i="2"/>
  <c r="U110" i="2"/>
  <c r="U141" i="2"/>
  <c r="U182" i="2"/>
  <c r="U93" i="2"/>
  <c r="U91" i="2"/>
  <c r="U90" i="2"/>
  <c r="U105" i="2"/>
  <c r="U185" i="2"/>
  <c r="X192" i="2"/>
  <c r="X205" i="2"/>
  <c r="V36" i="2"/>
  <c r="X36" i="2" s="1"/>
  <c r="U53" i="2"/>
  <c r="V50" i="2"/>
  <c r="X50" i="2" s="1"/>
  <c r="V46" i="2"/>
  <c r="X46" i="2" s="1"/>
  <c r="V93" i="2"/>
  <c r="X93" i="2" s="1"/>
  <c r="V89" i="2"/>
  <c r="X89" i="2" s="1"/>
  <c r="V85" i="2"/>
  <c r="X85" i="2" s="1"/>
  <c r="V109" i="2"/>
  <c r="X109" i="2" s="1"/>
  <c r="V103" i="2"/>
  <c r="X103" i="2" s="1"/>
  <c r="U127" i="2"/>
  <c r="U166" i="2"/>
  <c r="V38" i="2"/>
  <c r="X38" i="2" s="1"/>
  <c r="X56" i="2"/>
  <c r="U55" i="2"/>
  <c r="X48" i="2"/>
  <c r="U92" i="2"/>
  <c r="U88" i="2"/>
  <c r="U84" i="2"/>
  <c r="U112" i="2"/>
  <c r="U108" i="2"/>
  <c r="U106" i="2"/>
  <c r="U102" i="2"/>
  <c r="U99" i="2"/>
  <c r="U98" i="2"/>
  <c r="V144" i="2"/>
  <c r="X144" i="2" s="1"/>
  <c r="V171" i="2"/>
  <c r="X171" i="2" s="1"/>
  <c r="U169" i="2"/>
  <c r="V186" i="2"/>
  <c r="X186" i="2" s="1"/>
  <c r="V184" i="2"/>
  <c r="X184" i="2" s="1"/>
  <c r="V182" i="2"/>
  <c r="X182" i="2" s="1"/>
  <c r="V180" i="2"/>
  <c r="X180" i="2" s="1"/>
  <c r="U192" i="2"/>
  <c r="U205" i="2"/>
  <c r="V219" i="2"/>
  <c r="X219" i="2" s="1"/>
  <c r="U146" i="2"/>
  <c r="X165" i="2"/>
  <c r="U203" i="2"/>
  <c r="U217" i="2"/>
  <c r="X32" i="2"/>
  <c r="U49" i="2"/>
  <c r="X91" i="2"/>
  <c r="X105" i="2"/>
  <c r="V127" i="2"/>
  <c r="X127" i="2" s="1"/>
  <c r="U126" i="2"/>
  <c r="V146" i="2"/>
  <c r="X146" i="2" s="1"/>
  <c r="U145" i="2"/>
  <c r="U165" i="2"/>
  <c r="V203" i="2"/>
  <c r="X203" i="2" s="1"/>
  <c r="U220" i="2"/>
  <c r="V217" i="2"/>
  <c r="X217" i="2" s="1"/>
  <c r="U122" i="2"/>
  <c r="X99" i="2"/>
  <c r="V55" i="2"/>
  <c r="X55" i="2" s="1"/>
  <c r="V53" i="2"/>
  <c r="X53" i="2" s="1"/>
  <c r="V49" i="2"/>
  <c r="X49" i="2" s="1"/>
  <c r="V45" i="2"/>
  <c r="X45" i="2" s="1"/>
  <c r="W126" i="2"/>
  <c r="X126" i="2" s="1"/>
  <c r="W147" i="2"/>
  <c r="X147" i="2" s="1"/>
  <c r="W145" i="2"/>
  <c r="X145" i="2" s="1"/>
  <c r="W143" i="2"/>
  <c r="X143" i="2" s="1"/>
  <c r="W141" i="2"/>
  <c r="X141" i="2" s="1"/>
  <c r="W139" i="2"/>
  <c r="X139" i="2" s="1"/>
  <c r="V170" i="2"/>
  <c r="X170" i="2" s="1"/>
  <c r="V166" i="2"/>
  <c r="X166" i="2" s="1"/>
  <c r="V164" i="2"/>
  <c r="X164" i="2" s="1"/>
  <c r="W187" i="2"/>
  <c r="X187" i="2" s="1"/>
  <c r="V185" i="2"/>
  <c r="X185" i="2" s="1"/>
  <c r="V183" i="2"/>
  <c r="X183" i="2" s="1"/>
  <c r="V181" i="2"/>
  <c r="X181" i="2" s="1"/>
  <c r="W204" i="2"/>
  <c r="X204" i="2" s="1"/>
  <c r="W220" i="2"/>
  <c r="X220" i="2" s="1"/>
  <c r="V122" i="2"/>
  <c r="X122" i="2" s="1"/>
  <c r="T128" i="2"/>
  <c r="V39" i="2"/>
  <c r="X39" i="2" s="1"/>
  <c r="V37" i="2"/>
  <c r="X37" i="2" s="1"/>
  <c r="V92" i="2"/>
  <c r="X92" i="2" s="1"/>
  <c r="V90" i="2"/>
  <c r="X90" i="2" s="1"/>
  <c r="V88" i="2"/>
  <c r="X88" i="2" s="1"/>
  <c r="V86" i="2"/>
  <c r="X86" i="2" s="1"/>
  <c r="V84" i="2"/>
  <c r="X84" i="2" s="1"/>
  <c r="V112" i="2"/>
  <c r="X112" i="2" s="1"/>
  <c r="V110" i="2"/>
  <c r="X110" i="2" s="1"/>
  <c r="V108" i="2"/>
  <c r="X108" i="2" s="1"/>
  <c r="V106" i="2"/>
  <c r="X106" i="2" s="1"/>
  <c r="V104" i="2"/>
  <c r="X104" i="2" s="1"/>
  <c r="V102" i="2"/>
  <c r="X102" i="2" s="1"/>
  <c r="V100" i="2"/>
  <c r="X100" i="2" s="1"/>
  <c r="V98" i="2"/>
  <c r="X98" i="2" s="1"/>
  <c r="U31" i="2"/>
  <c r="W73" i="2"/>
  <c r="W80" i="2" s="1"/>
  <c r="T80" i="2"/>
  <c r="U52" i="2"/>
  <c r="V52" i="2"/>
  <c r="X52" i="2" s="1"/>
  <c r="U51" i="2"/>
  <c r="V51" i="2"/>
  <c r="X51" i="2" s="1"/>
  <c r="U41" i="2"/>
  <c r="V41" i="2"/>
  <c r="X41" i="2" s="1"/>
  <c r="V58" i="2"/>
  <c r="X58" i="2" s="1"/>
  <c r="U58" i="2"/>
  <c r="V216" i="2"/>
  <c r="X216" i="2" s="1"/>
  <c r="U216" i="2"/>
  <c r="V207" i="2"/>
  <c r="X207" i="2" s="1"/>
  <c r="U207" i="2"/>
  <c r="V208" i="2"/>
  <c r="X208" i="2" s="1"/>
  <c r="U208" i="2"/>
  <c r="V210" i="2"/>
  <c r="X210" i="2" s="1"/>
  <c r="U210" i="2"/>
  <c r="V211" i="2"/>
  <c r="X211" i="2" s="1"/>
  <c r="U211" i="2"/>
  <c r="V202" i="2"/>
  <c r="X202" i="2" s="1"/>
  <c r="U202" i="2"/>
  <c r="V191" i="2"/>
  <c r="X191" i="2" s="1"/>
  <c r="U191" i="2"/>
  <c r="V162" i="2"/>
  <c r="X162" i="2" s="1"/>
  <c r="U162" i="2"/>
  <c r="V149" i="2"/>
  <c r="X149" i="2" s="1"/>
  <c r="U149" i="2"/>
  <c r="V154" i="2"/>
  <c r="X154" i="2" s="1"/>
  <c r="U154" i="2"/>
  <c r="V155" i="2"/>
  <c r="X155" i="2" s="1"/>
  <c r="U155" i="2"/>
  <c r="V156" i="2"/>
  <c r="X156" i="2" s="1"/>
  <c r="U156" i="2"/>
  <c r="V158" i="2"/>
  <c r="X158" i="2" s="1"/>
  <c r="U158" i="2"/>
  <c r="V137" i="2"/>
  <c r="X137" i="2" s="1"/>
  <c r="U137" i="2"/>
  <c r="V125" i="2"/>
  <c r="X125" i="2" s="1"/>
  <c r="U125" i="2"/>
  <c r="X124" i="2"/>
  <c r="U124" i="2"/>
  <c r="V114" i="2"/>
  <c r="X114" i="2" s="1"/>
  <c r="U114" i="2"/>
  <c r="V115" i="2"/>
  <c r="X115" i="2" s="1"/>
  <c r="U115" i="2"/>
  <c r="V116" i="2"/>
  <c r="X116" i="2" s="1"/>
  <c r="U116" i="2"/>
  <c r="V117" i="2"/>
  <c r="X117" i="2" s="1"/>
  <c r="U117" i="2"/>
  <c r="V118" i="2"/>
  <c r="X118" i="2" s="1"/>
  <c r="U118" i="2"/>
  <c r="V119" i="2"/>
  <c r="X119" i="2" s="1"/>
  <c r="U119" i="2"/>
  <c r="V120" i="2"/>
  <c r="X120" i="2" s="1"/>
  <c r="U120" i="2"/>
  <c r="V121" i="2"/>
  <c r="X121" i="2" s="1"/>
  <c r="U121" i="2"/>
  <c r="V97" i="2"/>
  <c r="X97" i="2" s="1"/>
  <c r="U97" i="2"/>
  <c r="V83" i="2"/>
  <c r="U83" i="2"/>
  <c r="V60" i="2"/>
  <c r="X60" i="2" s="1"/>
  <c r="U60" i="2"/>
  <c r="V61" i="2"/>
  <c r="X61" i="2" s="1"/>
  <c r="U61" i="2"/>
  <c r="V62" i="2"/>
  <c r="X62" i="2" s="1"/>
  <c r="U62" i="2"/>
  <c r="V64" i="2"/>
  <c r="X64" i="2" s="1"/>
  <c r="U64" i="2"/>
  <c r="V70" i="2"/>
  <c r="X70" i="2" s="1"/>
  <c r="U70" i="2"/>
  <c r="V71" i="2"/>
  <c r="X71" i="2" s="1"/>
  <c r="U71" i="2"/>
  <c r="V72" i="2"/>
  <c r="X72" i="2" s="1"/>
  <c r="U72" i="2"/>
  <c r="V73" i="2"/>
  <c r="U73" i="2"/>
  <c r="V74" i="2"/>
  <c r="X74" i="2" s="1"/>
  <c r="U74" i="2"/>
  <c r="V76" i="2"/>
  <c r="X76" i="2" s="1"/>
  <c r="U76" i="2"/>
  <c r="V77" i="2"/>
  <c r="X77" i="2" s="1"/>
  <c r="U77" i="2"/>
  <c r="V78" i="2"/>
  <c r="X78" i="2" s="1"/>
  <c r="U78" i="2"/>
  <c r="V79" i="2"/>
  <c r="X79" i="2" s="1"/>
  <c r="U79" i="2"/>
  <c r="L52" i="2"/>
  <c r="L51" i="2"/>
  <c r="L156" i="2"/>
  <c r="X193" i="2" l="1"/>
  <c r="AC122" i="2"/>
  <c r="X83" i="2"/>
  <c r="X221" i="2"/>
  <c r="W128" i="2"/>
  <c r="X73" i="2"/>
  <c r="K221" i="2"/>
  <c r="M221" i="2"/>
  <c r="N221" i="2"/>
  <c r="P221" i="2"/>
  <c r="Q221" i="2"/>
  <c r="Y221" i="2"/>
  <c r="Z221" i="2"/>
  <c r="AA221" i="2"/>
  <c r="J221" i="2"/>
  <c r="K213" i="2"/>
  <c r="N213" i="2"/>
  <c r="Q213" i="2"/>
  <c r="Y213" i="2"/>
  <c r="Z213" i="2"/>
  <c r="AA213" i="2"/>
  <c r="K28" i="2"/>
  <c r="N28" i="2"/>
  <c r="Q28" i="2"/>
  <c r="Y28" i="2"/>
  <c r="Z28" i="2"/>
  <c r="AA28" i="2"/>
  <c r="J209" i="2" l="1"/>
  <c r="J179" i="2"/>
  <c r="J178" i="2"/>
  <c r="J177" i="2"/>
  <c r="J176" i="2"/>
  <c r="J175" i="2"/>
  <c r="J174" i="2"/>
  <c r="J173" i="2"/>
  <c r="J138" i="2"/>
  <c r="M69" i="2"/>
  <c r="L69" i="2"/>
  <c r="J68" i="2"/>
  <c r="J66" i="2"/>
  <c r="J65" i="2"/>
  <c r="J63" i="2"/>
  <c r="J59" i="2"/>
  <c r="J47" i="2"/>
  <c r="J33" i="2"/>
  <c r="L138" i="2" l="1"/>
  <c r="M33" i="2"/>
  <c r="L33" i="2"/>
  <c r="L47" i="2"/>
  <c r="M209" i="2"/>
  <c r="L209" i="2"/>
  <c r="M175" i="2"/>
  <c r="L175" i="2"/>
  <c r="M176" i="2"/>
  <c r="L176" i="2"/>
  <c r="M177" i="2"/>
  <c r="L177" i="2"/>
  <c r="M178" i="2"/>
  <c r="L178" i="2"/>
  <c r="M179" i="2"/>
  <c r="L179" i="2"/>
  <c r="M173" i="2"/>
  <c r="L173" i="2"/>
  <c r="M174" i="2"/>
  <c r="L174" i="2"/>
  <c r="M138" i="2"/>
  <c r="M67" i="2"/>
  <c r="L67" i="2"/>
  <c r="M68" i="2"/>
  <c r="L68" i="2"/>
  <c r="P69" i="2"/>
  <c r="S69" i="2" s="1"/>
  <c r="O69" i="2"/>
  <c r="M66" i="2"/>
  <c r="L66" i="2"/>
  <c r="M65" i="2"/>
  <c r="L65" i="2"/>
  <c r="M63" i="2"/>
  <c r="L63" i="2"/>
  <c r="M59" i="2"/>
  <c r="L59" i="2"/>
  <c r="M47" i="2"/>
  <c r="M80" i="2" l="1"/>
  <c r="V69" i="2"/>
  <c r="X69" i="2" s="1"/>
  <c r="U69" i="2"/>
  <c r="O138" i="2"/>
  <c r="R69" i="2"/>
  <c r="O33" i="2"/>
  <c r="P33" i="2"/>
  <c r="P209" i="2"/>
  <c r="S209" i="2" s="1"/>
  <c r="O209" i="2"/>
  <c r="P179" i="2"/>
  <c r="O179" i="2"/>
  <c r="P178" i="2"/>
  <c r="O178" i="2"/>
  <c r="P177" i="2"/>
  <c r="O177" i="2"/>
  <c r="P176" i="2"/>
  <c r="O176" i="2"/>
  <c r="P175" i="2"/>
  <c r="O175" i="2"/>
  <c r="P174" i="2"/>
  <c r="O174" i="2"/>
  <c r="P173" i="2"/>
  <c r="O173" i="2"/>
  <c r="P138" i="2"/>
  <c r="P68" i="2"/>
  <c r="S68" i="2" s="1"/>
  <c r="O68" i="2"/>
  <c r="P67" i="2"/>
  <c r="S67" i="2" s="1"/>
  <c r="O67" i="2"/>
  <c r="P66" i="2"/>
  <c r="S66" i="2" s="1"/>
  <c r="O66" i="2"/>
  <c r="P65" i="2"/>
  <c r="S65" i="2" s="1"/>
  <c r="O65" i="2"/>
  <c r="P63" i="2"/>
  <c r="S63" i="2" s="1"/>
  <c r="O63" i="2"/>
  <c r="P59" i="2"/>
  <c r="S59" i="2" s="1"/>
  <c r="O59" i="2"/>
  <c r="P47" i="2"/>
  <c r="S47" i="2" s="1"/>
  <c r="O47" i="2"/>
  <c r="P80" i="2" l="1"/>
  <c r="U47" i="2"/>
  <c r="V47" i="2"/>
  <c r="X47" i="2" s="1"/>
  <c r="V59" i="2"/>
  <c r="X59" i="2" s="1"/>
  <c r="U59" i="2"/>
  <c r="V63" i="2"/>
  <c r="X63" i="2" s="1"/>
  <c r="U63" i="2"/>
  <c r="V65" i="2"/>
  <c r="X65" i="2" s="1"/>
  <c r="U65" i="2"/>
  <c r="V66" i="2"/>
  <c r="X66" i="2" s="1"/>
  <c r="U66" i="2"/>
  <c r="V67" i="2"/>
  <c r="X67" i="2" s="1"/>
  <c r="U67" i="2"/>
  <c r="V68" i="2"/>
  <c r="X68" i="2" s="1"/>
  <c r="U68" i="2"/>
  <c r="R138" i="2"/>
  <c r="S138" i="2"/>
  <c r="R173" i="2"/>
  <c r="S173" i="2"/>
  <c r="R174" i="2"/>
  <c r="S174" i="2"/>
  <c r="R175" i="2"/>
  <c r="S175" i="2"/>
  <c r="R176" i="2"/>
  <c r="S176" i="2"/>
  <c r="R177" i="2"/>
  <c r="S177" i="2"/>
  <c r="R178" i="2"/>
  <c r="S178" i="2"/>
  <c r="R179" i="2"/>
  <c r="S179" i="2"/>
  <c r="V209" i="2"/>
  <c r="X209" i="2" s="1"/>
  <c r="U209" i="2"/>
  <c r="R33" i="2"/>
  <c r="S33" i="2"/>
  <c r="R47" i="2"/>
  <c r="R59" i="2"/>
  <c r="R63" i="2"/>
  <c r="R65" i="2"/>
  <c r="R66" i="2"/>
  <c r="R67" i="2"/>
  <c r="R68" i="2"/>
  <c r="R209" i="2"/>
  <c r="P14" i="2"/>
  <c r="M14" i="2"/>
  <c r="M35" i="2"/>
  <c r="M44" i="2"/>
  <c r="P107" i="2"/>
  <c r="M107" i="2"/>
  <c r="M163" i="2"/>
  <c r="P167" i="2"/>
  <c r="M167" i="2"/>
  <c r="J167" i="2"/>
  <c r="S167" i="2" s="1"/>
  <c r="M168" i="2"/>
  <c r="J168" i="2"/>
  <c r="S168" i="2" s="1"/>
  <c r="U168" i="2" l="1"/>
  <c r="V168" i="2"/>
  <c r="X168" i="2" s="1"/>
  <c r="U167" i="2"/>
  <c r="V167" i="2"/>
  <c r="X167" i="2" s="1"/>
  <c r="U33" i="2"/>
  <c r="V33" i="2"/>
  <c r="X33" i="2" s="1"/>
  <c r="U179" i="2"/>
  <c r="V179" i="2"/>
  <c r="X179" i="2" s="1"/>
  <c r="U178" i="2"/>
  <c r="V178" i="2"/>
  <c r="X178" i="2" s="1"/>
  <c r="U177" i="2"/>
  <c r="V177" i="2"/>
  <c r="X177" i="2" s="1"/>
  <c r="U176" i="2"/>
  <c r="V176" i="2"/>
  <c r="X176" i="2" s="1"/>
  <c r="U175" i="2"/>
  <c r="V175" i="2"/>
  <c r="X175" i="2" s="1"/>
  <c r="U174" i="2"/>
  <c r="V174" i="2"/>
  <c r="X174" i="2" s="1"/>
  <c r="V173" i="2"/>
  <c r="X173" i="2" s="1"/>
  <c r="U173" i="2"/>
  <c r="U138" i="2"/>
  <c r="V138" i="2"/>
  <c r="X138" i="2" s="1"/>
  <c r="O35" i="2"/>
  <c r="M28" i="2"/>
  <c r="O14" i="2"/>
  <c r="P28" i="2"/>
  <c r="R14" i="2"/>
  <c r="J163" i="2"/>
  <c r="S163" i="2" s="1"/>
  <c r="P142" i="2"/>
  <c r="M142" i="2"/>
  <c r="O142" i="2" s="1"/>
  <c r="J142" i="2"/>
  <c r="J107" i="2"/>
  <c r="S107" i="2" s="1"/>
  <c r="J44" i="2"/>
  <c r="S44" i="2" s="1"/>
  <c r="J35" i="2"/>
  <c r="S35" i="2" s="1"/>
  <c r="J14" i="2"/>
  <c r="U35" i="2" l="1"/>
  <c r="V35" i="2"/>
  <c r="X35" i="2" s="1"/>
  <c r="V44" i="2"/>
  <c r="X44" i="2" s="1"/>
  <c r="U44" i="2"/>
  <c r="U107" i="2"/>
  <c r="V107" i="2"/>
  <c r="X107" i="2" s="1"/>
  <c r="L142" i="2"/>
  <c r="S142" i="2"/>
  <c r="U163" i="2"/>
  <c r="V163" i="2"/>
  <c r="X163" i="2" s="1"/>
  <c r="X188" i="2" s="1"/>
  <c r="J28" i="2"/>
  <c r="S14" i="2"/>
  <c r="L14" i="2"/>
  <c r="L35" i="2"/>
  <c r="L168" i="2"/>
  <c r="R166" i="2"/>
  <c r="O166" i="2"/>
  <c r="U142" i="2" l="1"/>
  <c r="V142" i="2"/>
  <c r="X142" i="2" s="1"/>
  <c r="R112" i="2"/>
  <c r="O112" i="2"/>
  <c r="L112" i="2"/>
  <c r="L105" i="2" l="1"/>
  <c r="O105" i="2"/>
  <c r="R106" i="2"/>
  <c r="R105" i="2"/>
  <c r="J150" i="2" l="1"/>
  <c r="J151" i="2"/>
  <c r="J152" i="2"/>
  <c r="J153" i="2"/>
  <c r="J157" i="2"/>
  <c r="J193" i="2"/>
  <c r="L191" i="2"/>
  <c r="O191" i="2"/>
  <c r="R191" i="2"/>
  <c r="AB191" i="2"/>
  <c r="AC190" i="2"/>
  <c r="L102" i="2"/>
  <c r="L103" i="2"/>
  <c r="L104" i="2"/>
  <c r="L101" i="2"/>
  <c r="R76" i="2"/>
  <c r="R77" i="2"/>
  <c r="R78" i="2"/>
  <c r="R79" i="2"/>
  <c r="O76" i="2"/>
  <c r="O77" i="2"/>
  <c r="O78" i="2"/>
  <c r="O79" i="2"/>
  <c r="P75" i="2"/>
  <c r="M75" i="2"/>
  <c r="L76" i="2"/>
  <c r="L77" i="2"/>
  <c r="L78" i="2"/>
  <c r="L79" i="2"/>
  <c r="J75" i="2"/>
  <c r="S75" i="2" s="1"/>
  <c r="S80" i="2" s="1"/>
  <c r="V75" i="2" l="1"/>
  <c r="U75" i="2"/>
  <c r="U80" i="2" s="1"/>
  <c r="J129" i="2"/>
  <c r="R144" i="2"/>
  <c r="P153" i="2"/>
  <c r="M153" i="2"/>
  <c r="S153" i="2" s="1"/>
  <c r="X75" i="2" l="1"/>
  <c r="X80" i="2" s="1"/>
  <c r="V80" i="2"/>
  <c r="V153" i="2"/>
  <c r="X153" i="2" s="1"/>
  <c r="U153" i="2"/>
  <c r="AC191" i="2"/>
  <c r="P212" i="2"/>
  <c r="P213" i="2" s="1"/>
  <c r="M212" i="2"/>
  <c r="M213" i="2" s="1"/>
  <c r="J212" i="2"/>
  <c r="J213" i="2" l="1"/>
  <c r="S212" i="2"/>
  <c r="P157" i="2"/>
  <c r="M157" i="2"/>
  <c r="S157" i="2" s="1"/>
  <c r="P152" i="2"/>
  <c r="M152" i="2"/>
  <c r="S152" i="2" s="1"/>
  <c r="P151" i="2"/>
  <c r="M151" i="2"/>
  <c r="S151" i="2" s="1"/>
  <c r="O151" i="2"/>
  <c r="P150" i="2"/>
  <c r="M150" i="2"/>
  <c r="S150" i="2" s="1"/>
  <c r="V150" i="2" l="1"/>
  <c r="X150" i="2" s="1"/>
  <c r="U150" i="2"/>
  <c r="V151" i="2"/>
  <c r="X151" i="2" s="1"/>
  <c r="U151" i="2"/>
  <c r="V152" i="2"/>
  <c r="X152" i="2" s="1"/>
  <c r="U152" i="2"/>
  <c r="V157" i="2"/>
  <c r="X157" i="2" s="1"/>
  <c r="U157" i="2"/>
  <c r="V212" i="2"/>
  <c r="X212" i="2" s="1"/>
  <c r="X213" i="2" s="1"/>
  <c r="X222" i="2" s="1"/>
  <c r="U212" i="2"/>
  <c r="K188" i="2"/>
  <c r="M188" i="2"/>
  <c r="N188" i="2"/>
  <c r="P188" i="2"/>
  <c r="Q188" i="2"/>
  <c r="Y188" i="2"/>
  <c r="Z188" i="2"/>
  <c r="AA188" i="2"/>
  <c r="AB188" i="2"/>
  <c r="J188" i="2"/>
  <c r="R164" i="2"/>
  <c r="R163" i="2"/>
  <c r="R162" i="2"/>
  <c r="R170" i="2"/>
  <c r="R169" i="2"/>
  <c r="O169" i="2"/>
  <c r="AB159" i="2"/>
  <c r="AC161" i="2"/>
  <c r="AC160" i="2"/>
  <c r="K193" i="2"/>
  <c r="M193" i="2"/>
  <c r="N193" i="2"/>
  <c r="P193" i="2"/>
  <c r="Q193" i="2"/>
  <c r="Y193" i="2"/>
  <c r="Z193" i="2"/>
  <c r="AA193" i="2"/>
  <c r="K159" i="2"/>
  <c r="M159" i="2"/>
  <c r="N159" i="2"/>
  <c r="P159" i="2"/>
  <c r="Q159" i="2"/>
  <c r="Y159" i="2"/>
  <c r="Z159" i="2"/>
  <c r="AA159" i="2"/>
  <c r="J159" i="2"/>
  <c r="R155" i="2"/>
  <c r="O155" i="2"/>
  <c r="L155" i="2"/>
  <c r="R153" i="2"/>
  <c r="O153" i="2"/>
  <c r="R152" i="2"/>
  <c r="O152" i="2"/>
  <c r="R143" i="2"/>
  <c r="R140" i="2"/>
  <c r="R139" i="2"/>
  <c r="AC96" i="2"/>
  <c r="O127" i="2"/>
  <c r="O126" i="2"/>
  <c r="R124" i="2"/>
  <c r="O124" i="2"/>
  <c r="O125" i="2"/>
  <c r="R118" i="2"/>
  <c r="R107" i="2"/>
  <c r="O107" i="2"/>
  <c r="O106" i="2"/>
  <c r="R104" i="2"/>
  <c r="O104" i="2"/>
  <c r="R101" i="2"/>
  <c r="O101" i="2"/>
  <c r="R99" i="2"/>
  <c r="O99" i="2"/>
  <c r="R98" i="2"/>
  <c r="O98" i="2"/>
  <c r="R73" i="2"/>
  <c r="O73" i="2"/>
  <c r="R70" i="2"/>
  <c r="R64" i="2"/>
  <c r="O70" i="2"/>
  <c r="O64" i="2"/>
  <c r="R60" i="2"/>
  <c r="O60" i="2"/>
  <c r="R56" i="2"/>
  <c r="O56" i="2"/>
  <c r="R55" i="2"/>
  <c r="O55" i="2"/>
  <c r="R52" i="2"/>
  <c r="O52" i="2"/>
  <c r="R51" i="2"/>
  <c r="O51" i="2"/>
  <c r="R45" i="2"/>
  <c r="R44" i="2"/>
  <c r="O45" i="2"/>
  <c r="O44" i="2"/>
  <c r="R24" i="2"/>
  <c r="O24" i="2"/>
  <c r="R20" i="2"/>
  <c r="O20" i="2"/>
  <c r="R168" i="2"/>
  <c r="R167" i="2"/>
  <c r="R165" i="2"/>
  <c r="O168" i="2"/>
  <c r="O167" i="2"/>
  <c r="O165" i="2"/>
  <c r="O164" i="2"/>
  <c r="O163" i="2"/>
  <c r="O162" i="2"/>
  <c r="L163" i="2"/>
  <c r="L164" i="2"/>
  <c r="L165" i="2"/>
  <c r="L166" i="2"/>
  <c r="L167" i="2"/>
  <c r="L162" i="2"/>
  <c r="L217" i="2"/>
  <c r="O217" i="2"/>
  <c r="R217" i="2"/>
  <c r="L219" i="2"/>
  <c r="O219" i="2"/>
  <c r="R219" i="2"/>
  <c r="L220" i="2"/>
  <c r="O220" i="2"/>
  <c r="R220" i="2"/>
  <c r="R216" i="2"/>
  <c r="O216" i="2"/>
  <c r="L216" i="2"/>
  <c r="L203" i="2"/>
  <c r="O203" i="2"/>
  <c r="R203" i="2"/>
  <c r="L204" i="2"/>
  <c r="O204" i="2"/>
  <c r="R204" i="2"/>
  <c r="L205" i="2"/>
  <c r="O205" i="2"/>
  <c r="R205" i="2"/>
  <c r="L207" i="2"/>
  <c r="O207" i="2"/>
  <c r="R207" i="2"/>
  <c r="L208" i="2"/>
  <c r="O208" i="2"/>
  <c r="R208" i="2"/>
  <c r="L210" i="2"/>
  <c r="O210" i="2"/>
  <c r="R210" i="2"/>
  <c r="L211" i="2"/>
  <c r="O211" i="2"/>
  <c r="R211" i="2"/>
  <c r="R202" i="2"/>
  <c r="O202" i="2"/>
  <c r="L202" i="2"/>
  <c r="L192" i="2"/>
  <c r="O192" i="2"/>
  <c r="R192" i="2"/>
  <c r="R187" i="2"/>
  <c r="R186" i="2"/>
  <c r="R185" i="2"/>
  <c r="R184" i="2"/>
  <c r="R183" i="2"/>
  <c r="R182" i="2"/>
  <c r="R181" i="2"/>
  <c r="R180" i="2"/>
  <c r="R171" i="2"/>
  <c r="O187" i="2"/>
  <c r="O186" i="2"/>
  <c r="O185" i="2"/>
  <c r="O184" i="2"/>
  <c r="O183" i="2"/>
  <c r="O182" i="2"/>
  <c r="O181" i="2"/>
  <c r="O180" i="2"/>
  <c r="O171" i="2"/>
  <c r="L171" i="2"/>
  <c r="L180" i="2"/>
  <c r="L181" i="2"/>
  <c r="L182" i="2"/>
  <c r="L183" i="2"/>
  <c r="L184" i="2"/>
  <c r="L185" i="2"/>
  <c r="L186" i="2"/>
  <c r="L187" i="2"/>
  <c r="O54" i="2"/>
  <c r="R54" i="2"/>
  <c r="R53" i="2"/>
  <c r="X159" i="2" l="1"/>
  <c r="X194" i="2" s="1"/>
  <c r="R221" i="2"/>
  <c r="S221" i="2"/>
  <c r="T221" i="2"/>
  <c r="T213" i="2"/>
  <c r="L221" i="2"/>
  <c r="O221" i="2"/>
  <c r="S213" i="2"/>
  <c r="AC146" i="2"/>
  <c r="R193" i="2"/>
  <c r="J222" i="2"/>
  <c r="Q194" i="2"/>
  <c r="K194" i="2"/>
  <c r="AA194" i="2"/>
  <c r="P194" i="2"/>
  <c r="J194" i="2"/>
  <c r="S193" i="2"/>
  <c r="T188" i="2"/>
  <c r="Z194" i="2"/>
  <c r="N16" i="3" s="1"/>
  <c r="N194" i="2"/>
  <c r="S188" i="2"/>
  <c r="Q129" i="2"/>
  <c r="K129" i="2"/>
  <c r="Y194" i="2"/>
  <c r="M16" i="3" s="1"/>
  <c r="M194" i="2"/>
  <c r="T193" i="2"/>
  <c r="Z129" i="2"/>
  <c r="N8" i="3" s="1"/>
  <c r="S159" i="2"/>
  <c r="W213" i="2"/>
  <c r="N129" i="2"/>
  <c r="AA129" i="2"/>
  <c r="T159" i="2"/>
  <c r="L193" i="2"/>
  <c r="W221" i="2"/>
  <c r="O193" i="2"/>
  <c r="R188" i="2"/>
  <c r="V193" i="2"/>
  <c r="AC189" i="2"/>
  <c r="M95" i="2"/>
  <c r="S95" i="2" s="1"/>
  <c r="M94" i="2"/>
  <c r="P129" i="2"/>
  <c r="O170" i="2"/>
  <c r="O188" i="2" s="1"/>
  <c r="L170" i="2"/>
  <c r="L169" i="2"/>
  <c r="R158" i="2"/>
  <c r="O158" i="2"/>
  <c r="L158" i="2"/>
  <c r="R149" i="2"/>
  <c r="O149" i="2"/>
  <c r="L149" i="2"/>
  <c r="R145" i="2"/>
  <c r="R142" i="2"/>
  <c r="R141" i="2"/>
  <c r="L125" i="2"/>
  <c r="R72" i="2"/>
  <c r="O72" i="2"/>
  <c r="L72" i="2"/>
  <c r="S94" i="2" l="1"/>
  <c r="S128" i="2" s="1"/>
  <c r="M128" i="2"/>
  <c r="M129" i="2" s="1"/>
  <c r="U94" i="2"/>
  <c r="U128" i="2" s="1"/>
  <c r="V94" i="2"/>
  <c r="U95" i="2"/>
  <c r="V95" i="2"/>
  <c r="X95" i="2" s="1"/>
  <c r="O94" i="2"/>
  <c r="O95" i="2"/>
  <c r="AC174" i="2"/>
  <c r="AC175" i="2"/>
  <c r="V221" i="2"/>
  <c r="V213" i="2"/>
  <c r="U213" i="2"/>
  <c r="AC209" i="2"/>
  <c r="U221" i="2"/>
  <c r="AC113" i="2"/>
  <c r="AC208" i="2"/>
  <c r="AC204" i="2"/>
  <c r="AC120" i="2"/>
  <c r="AC167" i="2"/>
  <c r="AC178" i="2"/>
  <c r="AC126" i="2"/>
  <c r="AC176" i="2"/>
  <c r="AC101" i="2"/>
  <c r="AC99" i="2"/>
  <c r="AC187" i="2"/>
  <c r="AC156" i="2"/>
  <c r="AC165" i="2"/>
  <c r="AC108" i="2"/>
  <c r="AC151" i="2"/>
  <c r="AC186" i="2"/>
  <c r="AC164" i="2"/>
  <c r="AC98" i="2"/>
  <c r="AC121" i="2"/>
  <c r="AC86" i="2"/>
  <c r="AC124" i="2"/>
  <c r="AC166" i="2"/>
  <c r="AC171" i="2"/>
  <c r="AC168" i="2"/>
  <c r="AC183" i="2"/>
  <c r="AC84" i="2"/>
  <c r="AC119" i="2"/>
  <c r="AC140" i="2"/>
  <c r="AC100" i="2"/>
  <c r="AC115" i="2"/>
  <c r="AC163" i="2"/>
  <c r="AC54" i="2"/>
  <c r="J223" i="2"/>
  <c r="AC139" i="2"/>
  <c r="AC125" i="2"/>
  <c r="AC150" i="2"/>
  <c r="AC207" i="2"/>
  <c r="AC179" i="2"/>
  <c r="AC149" i="2"/>
  <c r="AC142" i="2"/>
  <c r="AC177" i="2"/>
  <c r="AC118" i="2"/>
  <c r="AC181" i="2"/>
  <c r="AC205" i="2"/>
  <c r="AC143" i="2"/>
  <c r="AC172" i="2"/>
  <c r="AC93" i="2"/>
  <c r="AC152" i="2"/>
  <c r="AC144" i="2"/>
  <c r="AC182" i="2"/>
  <c r="AC87" i="2"/>
  <c r="AC102" i="2"/>
  <c r="W193" i="2"/>
  <c r="AC170" i="2"/>
  <c r="AC158" i="2"/>
  <c r="AC203" i="2"/>
  <c r="AC180" i="2"/>
  <c r="AC104" i="2"/>
  <c r="AC154" i="2"/>
  <c r="AC89" i="2"/>
  <c r="AC117" i="2"/>
  <c r="AC185" i="2"/>
  <c r="AC97" i="2"/>
  <c r="AC88" i="2"/>
  <c r="AC184" i="2"/>
  <c r="AC92" i="2"/>
  <c r="AC123" i="2"/>
  <c r="AC173" i="2"/>
  <c r="AC148" i="2"/>
  <c r="AC103" i="2"/>
  <c r="AC90" i="2"/>
  <c r="AC169" i="2"/>
  <c r="S194" i="2"/>
  <c r="G16" i="3" s="1"/>
  <c r="K33" i="3" s="1"/>
  <c r="AC138" i="2"/>
  <c r="T194" i="2"/>
  <c r="H16" i="3" s="1"/>
  <c r="L33" i="3" s="1"/>
  <c r="AC141" i="2"/>
  <c r="AC147" i="2"/>
  <c r="AC218" i="2"/>
  <c r="AC91" i="2"/>
  <c r="L188" i="2"/>
  <c r="W159" i="2"/>
  <c r="AC145" i="2"/>
  <c r="AC157" i="2"/>
  <c r="AC116" i="2"/>
  <c r="U193" i="2"/>
  <c r="AC85" i="2"/>
  <c r="W188" i="2"/>
  <c r="AC155" i="2"/>
  <c r="U159" i="2"/>
  <c r="V159" i="2"/>
  <c r="V188" i="2"/>
  <c r="AC153" i="2"/>
  <c r="U188" i="2"/>
  <c r="R75" i="2"/>
  <c r="R74" i="2"/>
  <c r="O75" i="2"/>
  <c r="O74" i="2"/>
  <c r="R121" i="2"/>
  <c r="O121" i="2"/>
  <c r="R120" i="2"/>
  <c r="O120" i="2"/>
  <c r="R119" i="2"/>
  <c r="O119" i="2"/>
  <c r="O118" i="2"/>
  <c r="R117" i="2"/>
  <c r="O117" i="2"/>
  <c r="R116" i="2"/>
  <c r="R115" i="2"/>
  <c r="O116" i="2"/>
  <c r="O115" i="2"/>
  <c r="R71" i="2"/>
  <c r="O71" i="2"/>
  <c r="R50" i="2"/>
  <c r="O50" i="2"/>
  <c r="R49" i="2"/>
  <c r="O49" i="2"/>
  <c r="R48" i="2"/>
  <c r="O48" i="2"/>
  <c r="X94" i="2" l="1"/>
  <c r="X128" i="2" s="1"/>
  <c r="V128" i="2"/>
  <c r="M33" i="3"/>
  <c r="W194" i="2"/>
  <c r="K16" i="3" s="1"/>
  <c r="V194" i="2"/>
  <c r="J16" i="3" s="1"/>
  <c r="AC95" i="2"/>
  <c r="AC137" i="2"/>
  <c r="AC159" i="2" s="1"/>
  <c r="L16" i="3"/>
  <c r="Q16" i="3" s="1"/>
  <c r="AC162" i="2"/>
  <c r="AC83" i="2"/>
  <c r="AC202" i="2"/>
  <c r="U194" i="2"/>
  <c r="I16" i="3" s="1"/>
  <c r="O31" i="2"/>
  <c r="O11" i="2"/>
  <c r="R46" i="2"/>
  <c r="O46" i="2"/>
  <c r="R58" i="2"/>
  <c r="O58" i="2"/>
  <c r="R61" i="2"/>
  <c r="O61" i="2"/>
  <c r="R62" i="2"/>
  <c r="O62" i="2"/>
  <c r="L31" i="2"/>
  <c r="L44" i="2"/>
  <c r="L58" i="2"/>
  <c r="L60" i="2"/>
  <c r="L61" i="2"/>
  <c r="L62" i="2"/>
  <c r="L64" i="2"/>
  <c r="L70" i="2"/>
  <c r="L71" i="2"/>
  <c r="L73" i="2"/>
  <c r="L74" i="2"/>
  <c r="L75" i="2"/>
  <c r="L97" i="2"/>
  <c r="L98" i="2"/>
  <c r="L99" i="2"/>
  <c r="L100" i="2"/>
  <c r="L106" i="2"/>
  <c r="L107" i="2"/>
  <c r="L110" i="2"/>
  <c r="L111" i="2"/>
  <c r="L115" i="2"/>
  <c r="L116" i="2"/>
  <c r="L117" i="2"/>
  <c r="L118" i="2"/>
  <c r="L119" i="2"/>
  <c r="L120" i="2"/>
  <c r="L121" i="2"/>
  <c r="L126" i="2"/>
  <c r="L127" i="2"/>
  <c r="R97" i="2"/>
  <c r="O97" i="2"/>
  <c r="R100" i="2"/>
  <c r="O100" i="2"/>
  <c r="R103" i="2"/>
  <c r="O103" i="2"/>
  <c r="R110" i="2"/>
  <c r="O110" i="2"/>
  <c r="R111" i="2"/>
  <c r="O111" i="2"/>
  <c r="R137" i="2"/>
  <c r="R154" i="2"/>
  <c r="O154" i="2"/>
  <c r="L152" i="2"/>
  <c r="L153" i="2"/>
  <c r="L154" i="2"/>
  <c r="R150" i="2"/>
  <c r="O150" i="2"/>
  <c r="L150" i="2"/>
  <c r="R151" i="2"/>
  <c r="L151" i="2"/>
  <c r="R157" i="2"/>
  <c r="O157" i="2"/>
  <c r="L157" i="2"/>
  <c r="O128" i="2" l="1"/>
  <c r="R80" i="2"/>
  <c r="O80" i="2"/>
  <c r="R128" i="2"/>
  <c r="L128" i="2"/>
  <c r="L80" i="2"/>
  <c r="R159" i="2"/>
  <c r="R194" i="2" s="1"/>
  <c r="L159" i="2"/>
  <c r="L194" i="2" s="1"/>
  <c r="O159" i="2"/>
  <c r="O194" i="2" s="1"/>
  <c r="AC188" i="2"/>
  <c r="V12" i="2"/>
  <c r="T12" i="2"/>
  <c r="V13" i="2"/>
  <c r="T13" i="2"/>
  <c r="T14" i="2"/>
  <c r="T15" i="2"/>
  <c r="T16" i="2"/>
  <c r="T17" i="2"/>
  <c r="T18" i="2"/>
  <c r="V20" i="2"/>
  <c r="T20" i="2"/>
  <c r="V21" i="2"/>
  <c r="T21" i="2"/>
  <c r="T22" i="2"/>
  <c r="V24" i="2"/>
  <c r="T24" i="2"/>
  <c r="V25" i="2"/>
  <c r="T25" i="2"/>
  <c r="V26" i="2"/>
  <c r="T26" i="2"/>
  <c r="V27" i="2"/>
  <c r="T27" i="2"/>
  <c r="W18" i="2" l="1"/>
  <c r="U18" i="2"/>
  <c r="W17" i="2"/>
  <c r="U17" i="2"/>
  <c r="W16" i="2"/>
  <c r="U16" i="2"/>
  <c r="W15" i="2"/>
  <c r="U15" i="2"/>
  <c r="W14" i="2"/>
  <c r="U14" i="2"/>
  <c r="W13" i="2"/>
  <c r="X13" i="2" s="1"/>
  <c r="U13" i="2"/>
  <c r="W12" i="2"/>
  <c r="U12" i="2"/>
  <c r="W27" i="2"/>
  <c r="X27" i="2" s="1"/>
  <c r="U27" i="2"/>
  <c r="W26" i="2"/>
  <c r="U26" i="2"/>
  <c r="W25" i="2"/>
  <c r="X25" i="2" s="1"/>
  <c r="U25" i="2"/>
  <c r="W24" i="2"/>
  <c r="U24" i="2"/>
  <c r="W22" i="2"/>
  <c r="U22" i="2"/>
  <c r="W21" i="2"/>
  <c r="U21" i="2"/>
  <c r="W20" i="2"/>
  <c r="X20" i="2" s="1"/>
  <c r="U20" i="2"/>
  <c r="W11" i="2"/>
  <c r="T28" i="2"/>
  <c r="V11" i="2"/>
  <c r="S28" i="2"/>
  <c r="AC94" i="2"/>
  <c r="V22" i="2"/>
  <c r="V18" i="2"/>
  <c r="X18" i="2" s="1"/>
  <c r="V16" i="2"/>
  <c r="X16" i="2" s="1"/>
  <c r="V14" i="2"/>
  <c r="X14" i="2" s="1"/>
  <c r="X12" i="2"/>
  <c r="AC63" i="2"/>
  <c r="V17" i="2"/>
  <c r="V15" i="2"/>
  <c r="X26" i="2"/>
  <c r="X24" i="2"/>
  <c r="X21" i="2"/>
  <c r="X22" i="2" l="1"/>
  <c r="V28" i="2"/>
  <c r="X15" i="2"/>
  <c r="AC15" i="2" s="1"/>
  <c r="U28" i="2"/>
  <c r="X17" i="2"/>
  <c r="AC17" i="2" s="1"/>
  <c r="W28" i="2"/>
  <c r="W129" i="2" s="1"/>
  <c r="K8" i="3" s="1"/>
  <c r="AC20" i="2"/>
  <c r="X11" i="2"/>
  <c r="AC24" i="2"/>
  <c r="AC61" i="2"/>
  <c r="AC50" i="2"/>
  <c r="AC46" i="2"/>
  <c r="AC16" i="2"/>
  <c r="AC72" i="2"/>
  <c r="AC58" i="2"/>
  <c r="AC49" i="2"/>
  <c r="AC21" i="2"/>
  <c r="AC26" i="2"/>
  <c r="AC14" i="2"/>
  <c r="AC18" i="2"/>
  <c r="AC30" i="2"/>
  <c r="AC37" i="2"/>
  <c r="AC43" i="2"/>
  <c r="AC52" i="2"/>
  <c r="AC56" i="2"/>
  <c r="AC57" i="2"/>
  <c r="AC64" i="2"/>
  <c r="AC69" i="2"/>
  <c r="AC67" i="2"/>
  <c r="AC65" i="2"/>
  <c r="AC35" i="2"/>
  <c r="AC33" i="2"/>
  <c r="AC25" i="2"/>
  <c r="AC71" i="2"/>
  <c r="AC38" i="2"/>
  <c r="AC47" i="2"/>
  <c r="AC55" i="2"/>
  <c r="AC70" i="2"/>
  <c r="AC66" i="2"/>
  <c r="AC73" i="2"/>
  <c r="AC34" i="2"/>
  <c r="AC59" i="2"/>
  <c r="AC48" i="2"/>
  <c r="AC74" i="2"/>
  <c r="AC62" i="2"/>
  <c r="AC53" i="2"/>
  <c r="AC31" i="2"/>
  <c r="S129" i="2"/>
  <c r="G8" i="3" s="1"/>
  <c r="AC45" i="2"/>
  <c r="AC51" i="2"/>
  <c r="AC60" i="2"/>
  <c r="AC68" i="2"/>
  <c r="AC27" i="2"/>
  <c r="T129" i="2"/>
  <c r="H8" i="3" s="1"/>
  <c r="AC32" i="2"/>
  <c r="AC75" i="2"/>
  <c r="AC42" i="2"/>
  <c r="AC36" i="2"/>
  <c r="X28" i="2" l="1"/>
  <c r="V129" i="2"/>
  <c r="J8" i="3" s="1"/>
  <c r="AC44" i="2"/>
  <c r="Z222" i="2" l="1"/>
  <c r="N5" i="3"/>
  <c r="AC220" i="2"/>
  <c r="AC217" i="2"/>
  <c r="AB216" i="2"/>
  <c r="AC211" i="2"/>
  <c r="AC212" i="2"/>
  <c r="AB213" i="2"/>
  <c r="AB192" i="2"/>
  <c r="AC192" i="2" s="1"/>
  <c r="AC110" i="2"/>
  <c r="AC111" i="2"/>
  <c r="AB127" i="2"/>
  <c r="AC127" i="2" s="1"/>
  <c r="AC107" i="2"/>
  <c r="AC106" i="2"/>
  <c r="AB105" i="2"/>
  <c r="AC105" i="2" l="1"/>
  <c r="AB128" i="2"/>
  <c r="Z223" i="2"/>
  <c r="N25" i="3" s="1"/>
  <c r="N23" i="3"/>
  <c r="AC216" i="2"/>
  <c r="AC210" i="2"/>
  <c r="AC213" i="2" s="1"/>
  <c r="AB193" i="2"/>
  <c r="AB194" i="2" s="1"/>
  <c r="O16" i="3" s="1"/>
  <c r="AC193" i="2"/>
  <c r="AC194" i="2" s="1"/>
  <c r="P16" i="3" s="1"/>
  <c r="AC109" i="2"/>
  <c r="AA222" i="2"/>
  <c r="AA223" i="2" s="1"/>
  <c r="K222" i="2"/>
  <c r="K223" i="2" s="1"/>
  <c r="AC128" i="2" l="1"/>
  <c r="N7" i="3"/>
  <c r="Y222" i="2"/>
  <c r="M23" i="3" s="1"/>
  <c r="Q222" i="2"/>
  <c r="Q223" i="2" s="1"/>
  <c r="J7" i="3" l="1"/>
  <c r="N222" i="2"/>
  <c r="N223" i="2" s="1"/>
  <c r="W222" i="2"/>
  <c r="K5" i="3"/>
  <c r="W223" i="2" l="1"/>
  <c r="K25" i="3" s="1"/>
  <c r="K23" i="3"/>
  <c r="O28" i="2"/>
  <c r="O129" i="2" s="1"/>
  <c r="R28" i="2"/>
  <c r="R129" i="2" s="1"/>
  <c r="H22" i="3"/>
  <c r="O212" i="2"/>
  <c r="O213" i="2" s="1"/>
  <c r="R212" i="2"/>
  <c r="R213" i="2" s="1"/>
  <c r="J5" i="3"/>
  <c r="H6" i="3"/>
  <c r="L5" i="3" l="1"/>
  <c r="G6" i="3"/>
  <c r="L11" i="2"/>
  <c r="AB11" i="2"/>
  <c r="AC22" i="2"/>
  <c r="AC41" i="2"/>
  <c r="AC40" i="2"/>
  <c r="L212" i="2"/>
  <c r="L213" i="2" s="1"/>
  <c r="M21" i="3"/>
  <c r="M13" i="3"/>
  <c r="M15" i="3"/>
  <c r="N15" i="3"/>
  <c r="N21" i="3"/>
  <c r="N22" i="3"/>
  <c r="AB28" i="2" l="1"/>
  <c r="AC39" i="2"/>
  <c r="AC80" i="2" s="1"/>
  <c r="L28" i="2"/>
  <c r="L129" i="2" s="1"/>
  <c r="AC219" i="2"/>
  <c r="AC221" i="2" s="1"/>
  <c r="AB221" i="2"/>
  <c r="AC11" i="2"/>
  <c r="Y129" i="2"/>
  <c r="M7" i="3"/>
  <c r="O7" i="3" s="1"/>
  <c r="M222" i="2"/>
  <c r="M223" i="2" s="1"/>
  <c r="P222" i="2"/>
  <c r="P223" i="2" s="1"/>
  <c r="O21" i="3"/>
  <c r="M6" i="3"/>
  <c r="O15" i="3"/>
  <c r="N13" i="3"/>
  <c r="Y223" i="2" l="1"/>
  <c r="M25" i="3" s="1"/>
  <c r="M8" i="3"/>
  <c r="AB129" i="2"/>
  <c r="O8" i="3" s="1"/>
  <c r="O13" i="3"/>
  <c r="O22" i="3"/>
  <c r="AB222" i="2"/>
  <c r="O23" i="3" s="1"/>
  <c r="K7" i="3"/>
  <c r="K6" i="3"/>
  <c r="M5" i="3"/>
  <c r="M14" i="3"/>
  <c r="M22" i="3"/>
  <c r="N6" i="3"/>
  <c r="R222" i="2"/>
  <c r="R223" i="2" s="1"/>
  <c r="AC13" i="2"/>
  <c r="X129" i="2"/>
  <c r="L8" i="3" l="1"/>
  <c r="X223" i="2"/>
  <c r="U129" i="2"/>
  <c r="I8" i="3" s="1"/>
  <c r="Q8" i="3" s="1"/>
  <c r="AB223" i="2"/>
  <c r="O25" i="3" s="1"/>
  <c r="AC12" i="2"/>
  <c r="AC28" i="2" s="1"/>
  <c r="AC129" i="2" s="1"/>
  <c r="P8" i="3" s="1"/>
  <c r="V222" i="2"/>
  <c r="S222" i="2"/>
  <c r="J6" i="3"/>
  <c r="L7" i="3"/>
  <c r="M24" i="3"/>
  <c r="O5" i="3"/>
  <c r="N14" i="3"/>
  <c r="N24" i="3" s="1"/>
  <c r="I6" i="3"/>
  <c r="Q6" i="3" s="1"/>
  <c r="O6" i="3"/>
  <c r="S223" i="2" l="1"/>
  <c r="G25" i="3" s="1"/>
  <c r="G23" i="3"/>
  <c r="G24" i="3" s="1"/>
  <c r="H37" i="3" s="1"/>
  <c r="V223" i="2"/>
  <c r="J25" i="3" s="1"/>
  <c r="J23" i="3"/>
  <c r="G22" i="3"/>
  <c r="L6" i="3"/>
  <c r="D5" i="18"/>
  <c r="O14" i="3"/>
  <c r="P22" i="3"/>
  <c r="H5" i="3"/>
  <c r="G5" i="3"/>
  <c r="L25" i="3" l="1"/>
  <c r="L23" i="3"/>
  <c r="P6" i="3"/>
  <c r="K13" i="3"/>
  <c r="O24" i="3"/>
  <c r="H32" i="3" s="1"/>
  <c r="I5" i="3"/>
  <c r="P5" i="3" l="1"/>
  <c r="Q5" i="3"/>
  <c r="G7" i="3" l="1"/>
  <c r="K15" i="3"/>
  <c r="J21" i="3"/>
  <c r="P13" i="3"/>
  <c r="H7" i="3" l="1"/>
  <c r="D6" i="18"/>
  <c r="G21" i="3"/>
  <c r="K21" i="3"/>
  <c r="L21" i="3" s="1"/>
  <c r="P7" i="3" l="1"/>
  <c r="L32" i="3"/>
  <c r="C6" i="18"/>
  <c r="I7" i="3"/>
  <c r="I22" i="3"/>
  <c r="Q22" i="3" s="1"/>
  <c r="J22" i="3"/>
  <c r="H13" i="3"/>
  <c r="O222" i="2"/>
  <c r="O223" i="2" s="1"/>
  <c r="G14" i="3" l="1"/>
  <c r="K32" i="3"/>
  <c r="M32" i="3" s="1"/>
  <c r="C5" i="18"/>
  <c r="E5" i="18" s="1"/>
  <c r="Q7" i="3"/>
  <c r="K22" i="3"/>
  <c r="L22" i="3" s="1"/>
  <c r="D9" i="18"/>
  <c r="K34" i="3"/>
  <c r="C9" i="18"/>
  <c r="J14" i="3"/>
  <c r="J13" i="3"/>
  <c r="L13" i="3"/>
  <c r="G13" i="3"/>
  <c r="L222" i="2"/>
  <c r="L223" i="2" s="1"/>
  <c r="I13" i="3" l="1"/>
  <c r="D10" i="18"/>
  <c r="L14" i="3" l="1"/>
  <c r="K14" i="3"/>
  <c r="K24" i="3" s="1"/>
  <c r="J15" i="3"/>
  <c r="P15" i="3"/>
  <c r="H14" i="3"/>
  <c r="H15" i="3"/>
  <c r="J24" i="3" l="1"/>
  <c r="D7" i="18"/>
  <c r="L15" i="3"/>
  <c r="L24" i="3" s="1"/>
  <c r="G15" i="3"/>
  <c r="I14" i="3"/>
  <c r="D8" i="18"/>
  <c r="D11" i="18" l="1"/>
  <c r="D12" i="18" s="1"/>
  <c r="C8" i="18"/>
  <c r="I15" i="3"/>
  <c r="Q15" i="3" s="1"/>
  <c r="P14" i="3"/>
  <c r="C7" i="18" l="1"/>
  <c r="E7" i="18" s="1"/>
  <c r="T222" i="2" l="1"/>
  <c r="T223" i="2" l="1"/>
  <c r="H25" i="3" s="1"/>
  <c r="H23" i="3"/>
  <c r="U222" i="2"/>
  <c r="H21" i="3"/>
  <c r="I21" i="3" s="1"/>
  <c r="Q21" i="3" s="1"/>
  <c r="U223" i="2" l="1"/>
  <c r="I25" i="3" s="1"/>
  <c r="I23" i="3"/>
  <c r="Q23" i="3" s="1"/>
  <c r="Q24" i="3" s="1"/>
  <c r="AC222" i="2"/>
  <c r="P21" i="3"/>
  <c r="AC223" i="2" l="1"/>
  <c r="P25" i="3" s="1"/>
  <c r="Q25" i="3" s="1"/>
  <c r="P23" i="3"/>
  <c r="P24" i="3"/>
  <c r="I24" i="3"/>
  <c r="H24" i="3"/>
  <c r="H38" i="3" s="1"/>
  <c r="L34" i="3"/>
  <c r="M34" i="3" s="1"/>
  <c r="C10" i="18"/>
  <c r="E9" i="18" s="1"/>
  <c r="H30" i="3" l="1"/>
  <c r="H33" i="3" s="1"/>
  <c r="H39" i="3"/>
  <c r="C11" i="18"/>
  <c r="C12" i="18" s="1"/>
  <c r="E11" i="18"/>
  <c r="E12" i="18" s="1"/>
</calcChain>
</file>

<file path=xl/sharedStrings.xml><?xml version="1.0" encoding="utf-8"?>
<sst xmlns="http://schemas.openxmlformats.org/spreadsheetml/2006/main" count="1117" uniqueCount="666">
  <si>
    <t>Nr.</t>
  </si>
  <si>
    <t xml:space="preserve">Referenca e Rezultatit me produktet e programit buxhetor                       </t>
  </si>
  <si>
    <t>1.1.1</t>
  </si>
  <si>
    <t>1.1.2</t>
  </si>
  <si>
    <t>1.1.3</t>
  </si>
  <si>
    <t>4.1.1</t>
  </si>
  <si>
    <t>4.1.2</t>
  </si>
  <si>
    <t>5.1.1</t>
  </si>
  <si>
    <t>5.1.2</t>
  </si>
  <si>
    <t>6.1.1</t>
  </si>
  <si>
    <t>6.1.3</t>
  </si>
  <si>
    <t xml:space="preserve">Monitorime të kryera në sektorin e ujesjellës kanalizimeve </t>
  </si>
  <si>
    <t>Kosto Objektivi specifik 2.1</t>
  </si>
  <si>
    <t>Kosto Objektivi specifik 2.2</t>
  </si>
  <si>
    <t>Kosto Objektivi specifik 3.1</t>
  </si>
  <si>
    <t>Kosto Objektivi specifik 3.2</t>
  </si>
  <si>
    <t>4.1.3</t>
  </si>
  <si>
    <t>Korente</t>
  </si>
  <si>
    <t>Kapitale</t>
  </si>
  <si>
    <t>Total BSH</t>
  </si>
  <si>
    <t>Total FH</t>
  </si>
  <si>
    <t>Total Kosto</t>
  </si>
  <si>
    <t xml:space="preserve">Kosto Korente </t>
  </si>
  <si>
    <t>Kosto kapitale</t>
  </si>
  <si>
    <t>Total kosto</t>
  </si>
  <si>
    <t>Qëllimi i Politikës I</t>
  </si>
  <si>
    <t>Qëllimi i Politikës II</t>
  </si>
  <si>
    <t>Qëllimi i Politikës III</t>
  </si>
  <si>
    <t>Kosto Korente</t>
  </si>
  <si>
    <t>Kosto Kapitale</t>
  </si>
  <si>
    <t>Buxheti dhe Donatoret</t>
  </si>
  <si>
    <t>TOTALI [Leke]</t>
  </si>
  <si>
    <t>TOTALI [Euro]</t>
  </si>
  <si>
    <t xml:space="preserve">Titulli </t>
  </si>
  <si>
    <t xml:space="preserve">Programi buxhetor </t>
  </si>
  <si>
    <t>Institucionet përgjegjegjëse</t>
  </si>
  <si>
    <t xml:space="preserve">Referenca e Rezultatit me produktet e programit buxhetor  </t>
  </si>
  <si>
    <t>Institucioni përgjegjës</t>
  </si>
  <si>
    <t>Institucioni kontribues</t>
  </si>
  <si>
    <t xml:space="preserve">Hendeku financiar </t>
  </si>
  <si>
    <t xml:space="preserve">Afati i Zbatimit </t>
  </si>
  <si>
    <t xml:space="preserve">Emri donatorit/Titullin e projektit </t>
  </si>
  <si>
    <t>Total Financim i Huaj</t>
  </si>
  <si>
    <t>Kosto indikative/2024</t>
  </si>
  <si>
    <t>Kosto indikative/2025</t>
  </si>
  <si>
    <t>Kosto Objektivi Specifik 1.1.</t>
  </si>
  <si>
    <t xml:space="preserve"> I. Forcimi i rendit publik dhe përgatitjes për rastet e emergjencave civile  </t>
  </si>
  <si>
    <t>Objektivi specifik 2.1 Përmirësimi i komunikimit me publikun</t>
  </si>
  <si>
    <t>8.1.3</t>
  </si>
  <si>
    <t>8.1.4</t>
  </si>
  <si>
    <t>9.1.3</t>
  </si>
  <si>
    <t>10.1.1</t>
  </si>
  <si>
    <t>11.1.1</t>
  </si>
  <si>
    <t>Objektivi specifik 2.2. Forcimi i bashkëpunimit me komunitetin nëpërmjet funksionimit të KVSP-ve</t>
  </si>
  <si>
    <t>12.1.1</t>
  </si>
  <si>
    <t>13.1.2</t>
  </si>
  <si>
    <t>Objektivi specifik 2.3. Rritja e mbështetjes së Njësive të Vetëqeverisjes Vendore për Sigurinë Publike</t>
  </si>
  <si>
    <t>14.1.1</t>
  </si>
  <si>
    <t>14.1.2</t>
  </si>
  <si>
    <t>15.1.1</t>
  </si>
  <si>
    <t>16.1.1</t>
  </si>
  <si>
    <t>16.1.2</t>
  </si>
  <si>
    <t>16.1.3</t>
  </si>
  <si>
    <t>17.1.1</t>
  </si>
  <si>
    <t>18.1.1</t>
  </si>
  <si>
    <t>18.1.2</t>
  </si>
  <si>
    <t>19.1.1</t>
  </si>
  <si>
    <t>19.1.2</t>
  </si>
  <si>
    <t>Objektivi specifik 3.2. Përmirësimi i kushteve të punës, performancës dhe motivimit të punonjësve të policisë</t>
  </si>
  <si>
    <t>Donatorë</t>
  </si>
  <si>
    <t>Afati i fillimit</t>
  </si>
  <si>
    <t>Afati  i mbarimit</t>
  </si>
  <si>
    <t>Kosto Objektivi Specifik 1.3</t>
  </si>
  <si>
    <t xml:space="preserve">Kosto Objektivi specifik 2.3 </t>
  </si>
  <si>
    <t>2.1.1</t>
  </si>
  <si>
    <t>2.1.2</t>
  </si>
  <si>
    <t>2.1.3</t>
  </si>
  <si>
    <t>3.1.1</t>
  </si>
  <si>
    <t>3.1.2</t>
  </si>
  <si>
    <t>Kosto Objektivi Specifik 1.2</t>
  </si>
  <si>
    <t>6.1.4</t>
  </si>
  <si>
    <t>6.1.5</t>
  </si>
  <si>
    <t>Kosto totale Qëllimi i Politikës II (objektiva specifike 2.1+2.2+2.3)</t>
  </si>
  <si>
    <t xml:space="preserve">POLITIKA III: REFORMI I SHËRBIMIT POLICOR DHE RRITJA E KAPACITETEVE TË SIGURISË NË KOMUNITET </t>
  </si>
  <si>
    <t xml:space="preserve">SHSSH;
ASHMDF;
ISHP;
NJVKSH;
DRSHSSH
</t>
  </si>
  <si>
    <t>DPPSH</t>
  </si>
  <si>
    <t>Kosto indikative/2026</t>
  </si>
  <si>
    <t>Programi Buxhetor "Policia e Shtetit" 03140</t>
  </si>
  <si>
    <t xml:space="preserve">NJVV;
Aktorët e tjerë
</t>
  </si>
  <si>
    <t xml:space="preserve">Kosto Totale e Planit të Veprimit = Politika 1 + Politika 2 + Politika 3 </t>
  </si>
  <si>
    <t>Programi Buxhetor "Policia e Shtetit" 03140            Kodi 91604AA</t>
  </si>
  <si>
    <t xml:space="preserve">POLITIKA II : ANGAZHIMI DHE NDERVEPRIMI ME KOMUNITETIN </t>
  </si>
  <si>
    <t xml:space="preserve">Programi Buxhetor "Policia e Shtetit" 03140; Programi Prefekturat dhe Funksionet e Deleguara të Pushtetit Vendor 01160; 
</t>
  </si>
  <si>
    <t>Kosto indikative Totale</t>
  </si>
  <si>
    <t>Burimi i mbulimit deri ne 2023</t>
  </si>
  <si>
    <t xml:space="preserve">            II. QËLLIMI I POLITIKËS 1: RRITJA E PARAMETRAVE TË SIGURISË NË KOMUNITET</t>
  </si>
  <si>
    <t>Financim i Huaj (në  lekë)</t>
  </si>
  <si>
    <t xml:space="preserve"> PBA Buxhet Shteti (në lekë)</t>
  </si>
  <si>
    <t>Kosto totale ne EUR
(kursi kembimit: 1 EUR = 125 ALL)</t>
  </si>
  <si>
    <r>
      <rPr>
        <b/>
        <sz val="16"/>
        <color indexed="10"/>
        <rFont val="Calibri"/>
        <family val="2"/>
      </rPr>
      <t xml:space="preserve">Kosto totale Qëllimi i Politikës II </t>
    </r>
    <r>
      <rPr>
        <sz val="16"/>
        <color theme="1"/>
        <rFont val="Calibri"/>
        <family val="2"/>
        <scheme val="minor"/>
      </rPr>
      <t xml:space="preserve">
</t>
    </r>
    <r>
      <rPr>
        <b/>
        <sz val="16"/>
        <color theme="1"/>
        <rFont val="Calibri"/>
        <family val="2"/>
        <scheme val="minor"/>
      </rPr>
      <t>(objektiva specifike 2.1+2.2+2.3)</t>
    </r>
  </si>
  <si>
    <r>
      <rPr>
        <b/>
        <sz val="16"/>
        <color indexed="10"/>
        <rFont val="Calibri"/>
        <family val="2"/>
      </rPr>
      <t xml:space="preserve">Kosto totale Qëllimi i Politikës I </t>
    </r>
    <r>
      <rPr>
        <sz val="16"/>
        <color theme="1"/>
        <rFont val="Calibri"/>
        <family val="2"/>
        <scheme val="minor"/>
      </rPr>
      <t xml:space="preserve">
</t>
    </r>
    <r>
      <rPr>
        <b/>
        <sz val="16"/>
        <color theme="1"/>
        <rFont val="Calibri"/>
        <family val="2"/>
        <scheme val="minor"/>
      </rPr>
      <t>(objektiva specifike 1.1+1.2+13)</t>
    </r>
  </si>
  <si>
    <r>
      <rPr>
        <b/>
        <sz val="16"/>
        <color indexed="10"/>
        <rFont val="Calibri"/>
        <family val="2"/>
      </rPr>
      <t>Kosto totale Qëllimi i Politikës III</t>
    </r>
    <r>
      <rPr>
        <sz val="16"/>
        <color theme="1"/>
        <rFont val="Calibri"/>
        <family val="2"/>
        <scheme val="minor"/>
      </rPr>
      <t xml:space="preserve">
</t>
    </r>
    <r>
      <rPr>
        <b/>
        <sz val="16"/>
        <color theme="1"/>
        <rFont val="Calibri"/>
        <family val="2"/>
        <scheme val="minor"/>
      </rPr>
      <t>(objektiva specifike 3.1+3.2)</t>
    </r>
  </si>
  <si>
    <t>PBA</t>
  </si>
  <si>
    <t>Hendeku financiar
2021-2026
(në Lekë)</t>
  </si>
  <si>
    <t>Objektivi specifik</t>
  </si>
  <si>
    <t>Kosto indikative</t>
  </si>
  <si>
    <t xml:space="preserve">Financimi i huaj </t>
  </si>
  <si>
    <t xml:space="preserve"> Objektivi specifik</t>
  </si>
  <si>
    <t xml:space="preserve">Kosto totale Planit të Veprimit </t>
  </si>
  <si>
    <t xml:space="preserve">Kosto totale e Planit të Veprimit </t>
  </si>
  <si>
    <t>Financimi I huaj</t>
  </si>
  <si>
    <t>Qëllimet e politikave</t>
  </si>
  <si>
    <t>Natyra/tipologjia e kostove</t>
  </si>
  <si>
    <t>Kosto tota;e</t>
  </si>
  <si>
    <t>Kosto e planifikuar në</t>
  </si>
  <si>
    <t>Hendeku financiar</t>
  </si>
  <si>
    <t xml:space="preserve">Programi buxhetor 09120   kodi  91103AE  </t>
  </si>
  <si>
    <t>TOTALI</t>
  </si>
  <si>
    <t>Nevojat kapitale (në Lek)</t>
  </si>
  <si>
    <t xml:space="preserve">Qëllimi i Politikës II : Angazhimi dhe ndërveprimi me komunitetin </t>
  </si>
  <si>
    <t>Objektiv specifik 1.1 Rritja e sigurisë në komunitet bazuar në vlerësimin e risqeve dhe proaktivitetin</t>
  </si>
  <si>
    <t>Objektiv specifik 1.2 Evidentimi, parandalimi dhe trajtimi në kohë i problematikave të komunitetit dhe çështjeve të rëndësishme që cenojnë rendin dhe sigurinë në komunitet</t>
  </si>
  <si>
    <t>Objektiv specifik 1.3 Rritja e efikasitetit të kontrollit të territorit</t>
  </si>
  <si>
    <t xml:space="preserve">Objektivi specifik 2.2 Forcimi i bashkëpunimit me komunitetin nëpërmjet funksionimit të KVSP-ve </t>
  </si>
  <si>
    <t>Objektivi specifik 2.3 Rritja e mbështetjes së Njësive të Vetëqeverisjes Vendore për Sigurinë Publike</t>
  </si>
  <si>
    <t>Objektivi specifik 3.1 Përmirësimi i strukturave në shërbim të komunitetit dhe krijimi i një strukture të posaçme të dedikuar për policimin në komunitet</t>
  </si>
  <si>
    <t>Objektivi specifik 3.2 Përmirësimi i kushteve të punës, performancës dhe motivimit të punonjësve të policisë</t>
  </si>
  <si>
    <t>Qëllimi i Politikës I :Rritja e parametrave të sigurisë</t>
  </si>
  <si>
    <t>QP1: Rritja e parametrave të sigurisë</t>
  </si>
  <si>
    <t xml:space="preserve">QP2: Angazhimi dhe ndërveprimi me komunitetin </t>
  </si>
  <si>
    <t>KVSP; Bashkitë;
Institucioni i Prefektit
Institucionet shtetërore;Shoqëria civile; 
Komuniteti Programi SCPA; Shoqëria civile;
OJF</t>
  </si>
  <si>
    <t>DPPSH; ASCAP</t>
  </si>
  <si>
    <t xml:space="preserve">KVSP; NJVV; Institucionet e tjera të linjës; SCPA:DPAP; MASR; SHSSH;
ASHMDF;
ISHP;
NJVKSH;
DRSHSSH
</t>
  </si>
  <si>
    <t>NJVV; AMVV; DPPSH/DVP;MSHMS</t>
  </si>
  <si>
    <t>NJVV; MKR
OSHC e specializuara; Donatorët(SCPA); Institucionet shtetërore në nivel vendor;
DPPSH-DVP</t>
  </si>
  <si>
    <t xml:space="preserve">DPPSH-DVP; MSHMS; MB; NJVV
</t>
  </si>
  <si>
    <t xml:space="preserve">ASCAP/MASR; Ministritë e linjës;
NJVV;
KVSP; MKR
OSHC e specializuara; Donatorët; MB/PSH;
Akademia e Sigurisë;
</t>
  </si>
  <si>
    <t xml:space="preserve">MSHMS; MB; AMVV; NJVV
</t>
  </si>
  <si>
    <t>Institucionet  anëtare të KVSP;MKR/NJMF;
OSHC e specializuara;Donatorët;Ministritë e linjës;
Komunitetet fetare;
Shoqëria civile;
Media;
Biznesi</t>
  </si>
  <si>
    <t xml:space="preserve">NJVV - KVSP;AMVV: MB
</t>
  </si>
  <si>
    <t>NJVV/AMVV</t>
  </si>
  <si>
    <t xml:space="preserve">DPPSH;MB </t>
  </si>
  <si>
    <t xml:space="preserve">Akademia e Sigurisë;Programi SCPA; MASR;
NJVV - KVSP </t>
  </si>
  <si>
    <t xml:space="preserve">DPPSH -
DVP; MB; Programi SCPA (donatorë)
</t>
  </si>
  <si>
    <t>NJVV/Njësitë Administrative
Institucionet e tjera; Donatorët</t>
  </si>
  <si>
    <t xml:space="preserve">QP3: Reformimi i shërbimit policor dhe rritja e kapaciteteve për sigurinë në komunitet </t>
  </si>
  <si>
    <t xml:space="preserve">Programi Buxhetor "Policia e Shtetit" 03140; Programi Prefekturat dhe Funksionet e Deleguara të Pushtetit Vendor 01160; Programi buxhetor 01110
</t>
  </si>
  <si>
    <t xml:space="preserve">Qëllimi i Politikës  III: Reformimi i shërbimit policor dhe rritja e kapaciteteve për sigurinë në komunitet </t>
  </si>
  <si>
    <t>Masa. 1 Forcimi i bashkëpunimit ndërinstitucional për vlerësimin e riskut dhe dëmit dhe masat parandaluese.</t>
  </si>
  <si>
    <t>Hartimi i analizave specifike bazuar në treguesit e performancës/punës, duke vlerësuar dhe klasifikuar nivelet e riskut për zonat e territorit (urbane dhe rurale) për rritje të tendencave të veprave penale apo të paligjshmërisë në komunitet.</t>
  </si>
  <si>
    <t>Vlerësimi i risqeve dhe përcaktimi i “zonave të nxehta”, me qëllim orientimin e planifikimit dhe kryerjen e shërbimeve policore në këto vende për parandalimin e ngjarjeve të ndryshme (kriminale, paligjshmëri, aksidente rrugore, etj.).</t>
  </si>
  <si>
    <t>1.1.4</t>
  </si>
  <si>
    <t>Zhvillimi i takimeve të përbashkëta në nivel vendor me përfshirjen e komunitetit, institucioneve të tjera dhe shoqërisë civile për çështjet e rendit dhe sigurisë publike.</t>
  </si>
  <si>
    <t>1.1.5</t>
  </si>
  <si>
    <t>1.1.6</t>
  </si>
  <si>
    <t>Hartimi i planeve të masave për ruajtjen e rendit dhe sigurisë në shkolla, bazuar në vlerësimin e situatës kriminale dhe asaj të rendit, kontrollit të plotë të territorit, për garantimin e sigurisë në institucionet arsimore.</t>
  </si>
  <si>
    <t>1.1.7</t>
  </si>
  <si>
    <t>Hartimi dhe zbatimi i aktmarrveshjeve me institucionet ligjzbatuese për masat parandaluese të zjarreve në Zonat e Mbrojtura të percaktuara sipas legjislacionit në fuqi.</t>
  </si>
  <si>
    <t>1.1.8</t>
  </si>
  <si>
    <t>Hartimi dhe zbatimi i akmarrveshjeve me pushtetin vendor dhe komunitetin që ndodhen në territorin brenda zonave të mbrojtura në rastet e emergjencave si zjarret, përmbytjet, erozionet, si dhe informacioneve të marra mbi problematikat e guidave turistike me turistë të huaj.</t>
  </si>
  <si>
    <t>Masa 2. Realizimi i vlerësimeve të riskut mbi baza lokale nga Këshillat Vendorë të Sigurisë Publike.</t>
  </si>
  <si>
    <t>Vlerësimi i treguesve të punës dhe informacioneve të strukturave të mbrojtes sociale lidhur mbledhjet e organizuara nga KVSP-të dhe trajtimit te rasteve.</t>
  </si>
  <si>
    <t>Kryerja e anketimeve, intervistave, pyetësorëve mbi kënaqësinë e publikut tek policia dhe institucionet.</t>
  </si>
  <si>
    <t>Masa 3. Proaktiviteti i shërbimit policor në lidhje me përmirësimin e sistemit të menaxhimit të rasteve.</t>
  </si>
  <si>
    <t>Përmirësimi i sistemit Menaxhimit Policor të Çështjes duke shtuar zëra të identifikuara me interes nga strukturat policore.</t>
  </si>
  <si>
    <t>Rishikimi i procedurës standarde për përcaktimin, marrjen dhe dhënien e numrit unik në Menaxhimin Policor të Çështje.</t>
  </si>
  <si>
    <t>3.1.3</t>
  </si>
  <si>
    <t>3.1.4</t>
  </si>
  <si>
    <t>Integrimi i Sistemit të Drejtorive Vendore dhe Drejtorive Vendore të Kufirit dhe Migracionit në sistemin e Menaxhimit Policor të Çështje për telefonatat.</t>
  </si>
  <si>
    <t>Objektivi specifik 1.2 Evidentimi, parandalimi dhe trajtimi në kohë i problematikave të komunitetit dhe çështjeve të rëndësishme që cenojnë rendin dhe sigurinë në komunitet.</t>
  </si>
  <si>
    <t>Mbledhja, analizimi dhe shkëmbimi i informacioneve/evidencave në mënyrë proaktive për çështje që shqetësojnë komunitetin nga Institucionet Arsimore me aktorët e tjerë të KVSP-ve me qëllim parandalimin dhe trajtimin e rasteve.</t>
  </si>
  <si>
    <t>4.1.4</t>
  </si>
  <si>
    <t>Mbledhja, analizimi dhe shkëmbimi i informacioneve/evidencave në mënyrë proaktive për çështje që shqetësojnë komunitetin nga Shërbimi Social Shtetëror me aktorët e tjerë të KVSP-ve me qëllim parandalimin dhe trajtimin e rasteve.</t>
  </si>
  <si>
    <t>4.1.5</t>
  </si>
  <si>
    <t>Mbledhja, analizimi dhe shkëmbimi i informacioneve/evidencave në mënyrë proaktive për çështje që shqetësojnë komunitetin nga aktorë të tjerë apo shoqëria civile, organizata lokale, apo mekanizma të tjerë ekzistues me aktorët e tjerë të KVSP-ve me qëllim parandalimin dhe trajtimin e rasteve.</t>
  </si>
  <si>
    <t>4.1.6</t>
  </si>
  <si>
    <t>Zhvillimi i analizave periodike në lidhje me garantimin e sigurisë së rendit dhe të qetësisë në shkolla, duke evidentuar problemet dhe përcaktuar detyrat për zgjidhjen e tyre, në funksion të parandalimit të ngjarjeve kriminale në institucionet arsimore.</t>
  </si>
  <si>
    <t>4.1.7</t>
  </si>
  <si>
    <t>4.1.8</t>
  </si>
  <si>
    <t>Hartimi i raporteve (informacioneve) të vlerësimit për rastet e identifikimit të shenjave të hershme të ekstremizmit të dhunshëm të cilat do duhet të furnizojnë me informacion Komitetet Rajonale për të 12 Qarqet.</t>
  </si>
  <si>
    <t>4.1.9</t>
  </si>
  <si>
    <t>4.1.10</t>
  </si>
  <si>
    <t>4.1.11</t>
  </si>
  <si>
    <t>4.1.12</t>
  </si>
  <si>
    <t>Masa 5. Parandalimi nëpërmjet zbatimit të paketës së sigurisë në shkolla.</t>
  </si>
  <si>
    <t>Ngritja e Task-Forcës së posaçme të kryesuar nga Prefekti i qarkut, për të siguruar marrjen e masave brenda perimetrit të sigurisë në shkolla.</t>
  </si>
  <si>
    <t>5.1.3</t>
  </si>
  <si>
    <t>Goditja e shpërndarësve të lëndëve narkotike pranë perimiterit të sigurisë në shkolla.</t>
  </si>
  <si>
    <t>5.1.4</t>
  </si>
  <si>
    <t>5.1.5</t>
  </si>
  <si>
    <t>5.1.6</t>
  </si>
  <si>
    <t>Monitorimi për respektimin e Kodit Rrugor pranë perimiterit të sigurisë së shkollave.</t>
  </si>
  <si>
    <t>5.1.7</t>
  </si>
  <si>
    <t xml:space="preserve">Monitorim ndaj mjeteve të transportit shkollor me qëllim respektimin e standarteve dhe kërkesave të përcaktuara në aktet ligjore dhe nënligjore përkatëse. </t>
  </si>
  <si>
    <t>5.1.8</t>
  </si>
  <si>
    <t xml:space="preserve">Inspektimi i ambienteve të institucioneve arsimore parauniversitare dhe në zonat rreth tyre për respektimin e kërkesave të ligjit "Për mbrojtjen e të Miturve nga Përdorimi i Alkoolit si dhe të ligjit për "Mbrojtjen e Shëndetit nga Produktet e Duhanit. 
</t>
  </si>
  <si>
    <t>5.1.9</t>
  </si>
  <si>
    <t>Inspektimi i ambienteve të institucioneve arsimore parauniversitare dhe në zonat rreth tyre për zbatimin e kushteve higjieno-sanitare.</t>
  </si>
  <si>
    <t>5.1.10</t>
  </si>
  <si>
    <t>Inspektimi i kushteve të sigurisë ushqimore dhe i paisjeve me license nga AKU, të operatorëve të biznesit ushqimorë që veprojnë brenda perimetrit të sigurisë në shkolla.</t>
  </si>
  <si>
    <t>5.1.11</t>
  </si>
  <si>
    <t>Realizimi dhe zbatimi i planit të IKMT-së për inspektimet dhe prishjet e objekteve të kundërligjshme dhe lirimin e hapsirave publike në perimetrin e sigurisë së shkollave.</t>
  </si>
  <si>
    <t>5.1.12</t>
  </si>
  <si>
    <t>5.1.13</t>
  </si>
  <si>
    <t>Zhvillimi i anketimeve në insitucionet arsimore mbi perceptimin e sigurisë së nxënësve mbi sigurinë në shkolla.</t>
  </si>
  <si>
    <t>Masa 6. Parandalimi nëpërmjet realizimit të fushatave ndërgjegjësuese.</t>
  </si>
  <si>
    <t>Zbatimi i programit "Siguria e të rinjve" bazuar në detyrimet dhe objektivat e përcaktuara.</t>
  </si>
  <si>
    <t>Hartimi i raportit statistikor dhe përmbajtësor në fund të vitit shkollor mbi ecurinë e zhvillimit të fushatave ndërgjegjësuese dhe informimi i Ministrisë së Brendshme dhe Policisë së Shtetit.</t>
  </si>
  <si>
    <t>Zhvillimi i fushatave ndërgjegjësuese me publikun dhe fokus grupe të veçanta, për çështjet e krimit, rendit dhe sjelljeve antishoqërore.</t>
  </si>
  <si>
    <t>Organizimi dhe zhvillimi  i takimeve të përbashkëta të specialistëve të hetimit të krimeve në volum me institucionet arsimore,  bordit të prindërve, senatit të nxënësve etj.</t>
  </si>
  <si>
    <t>6.1.6</t>
  </si>
  <si>
    <t>Angazhimi i Strukturave të Policimit në Komunitet në DVP/komisariatet e policise nëpërmjet zhvillimive të takimeve periodike në shkollat e mesme në lidhje me implementimin e projektit "Shkolla Qender Komunitare".</t>
  </si>
  <si>
    <t>6.1.7</t>
  </si>
  <si>
    <t>Organizimi i veprimtarive mbi masat kundër bullizmit,ekstremizmit të dhunshëm dhe shënjstrimit në shkolla.</t>
  </si>
  <si>
    <t>6.1.8</t>
  </si>
  <si>
    <t>6.1.9</t>
  </si>
  <si>
    <t>Organizimi i aktiviteteve ndërgjegjësuese me nxënës të AMU/AML për pasojat e dëmshme nga përdorimi i substancave narkotike dhe alkolit.</t>
  </si>
  <si>
    <t>6.1.10</t>
  </si>
  <si>
    <t>Organizimi i aktiviteteve ndërgjegjësuese me nxënës të AML dhe prindër nga shtresa vulnerabël (nxënës me problematika sociale, ekonomike familjare, etj.) për pasojat ligjore të veprimeve të paligjshme dhe kriminale që mund të kryejë një i mitur.</t>
  </si>
  <si>
    <t>6.1.11</t>
  </si>
  <si>
    <t>6.1.12</t>
  </si>
  <si>
    <t>6.1.13</t>
  </si>
  <si>
    <t xml:space="preserve">Krijimi i sistemit për identifikimin, parandalimin dhe raportimin e dhunës, bullizmit dhe ekstremizmit në shkolla. </t>
  </si>
  <si>
    <t>6.1.14</t>
  </si>
  <si>
    <t>Organizimi i takimeve të përbashkëta në shkolla lidhur me ndërgjegjësimin mbi sigurinë rrugore.</t>
  </si>
  <si>
    <t>6.1.15</t>
  </si>
  <si>
    <t>Zhvillimi i takimeve me komunitetin mbi informimin dhe edukimin për rreziqet e zjarreve dhe pasojat që sjellin në mjedis dhe në komunitet.</t>
  </si>
  <si>
    <t>6.1.16</t>
  </si>
  <si>
    <t>6.1.17</t>
  </si>
  <si>
    <t>6.1.18</t>
  </si>
  <si>
    <t>Organizimi  i aktiviteteve ndërgjegjësues dhe informuese në arsimin parauniversitar dhe univesitar lidhur me parandalimin e recidivizmit, asistimit dhe konsultimi për riintegrimin dhe risocializimin me sukses në komunitet të shkelësve të ligjit.</t>
  </si>
  <si>
    <t>Objektivi specifik 1.3 Rritja e efikasitetit të kontrollit të territorit.</t>
  </si>
  <si>
    <t>Masa 7. Parandalimi i paligjshmërisë në kuadër të mbrojtjes së territorit dhe mjedisit.</t>
  </si>
  <si>
    <t>7.1.1</t>
  </si>
  <si>
    <t xml:space="preserve"> Inspektimi dhe kontrolli i territorit në kuadër të luftës kundër informalitetit dhe shfrytëzimit të paligjshëm të teritorrit.</t>
  </si>
  <si>
    <t>7.1.2</t>
  </si>
  <si>
    <t>Kryerja e kontrolleve të territorit në kuadër të garantimit të sigurisë publike përgjatë sezonit turistik dhe identifikimi i rasteve të paligjshme.</t>
  </si>
  <si>
    <t>7.1.3</t>
  </si>
  <si>
    <t>7.1.4</t>
  </si>
  <si>
    <t>Monitorimi i Task-Forcave Vendore të përbashkëta.</t>
  </si>
  <si>
    <t>7.1.5</t>
  </si>
  <si>
    <t>Krijimi i Sekretariatit Teknik për monitorimin dhe analizimin e raporteve të përbashkëta të dërguara nga Task-Forcat vendore, DPSH dhe IKMT.</t>
  </si>
  <si>
    <t>7.1.6</t>
  </si>
  <si>
    <t>Zhvillimi i takimeve dhe analizave të përbashkëta për kontrollin e territorit.</t>
  </si>
  <si>
    <t>7.1.7</t>
  </si>
  <si>
    <t>Monitorimi i vazhdueshem i territorit brenda zonave të mbrojtura si dhe rritja e numrit të monitorimeve, profesionalizmit dhe cilësisë për parandalimin e situatave emergjente në zonat e mbrojtura në përputhje me legjislacionin në fuqi.</t>
  </si>
  <si>
    <t>7.1.8</t>
  </si>
  <si>
    <t>Marrja e masave parandaluese për veprimtaritë e kundraligjshme në zonat e mbrojtura.</t>
  </si>
  <si>
    <t>7.1.9</t>
  </si>
  <si>
    <t>Monitorimi dhe intensifikimi i kontrollit në zonat bregdetare për secilin sezon turistik.</t>
  </si>
  <si>
    <t>7.1.10</t>
  </si>
  <si>
    <t>Monitorimi i parcelave të përcaktuara si plazhe publike, kritereve dhe standarteve në këto plazhe, sipas përcaktimeve të Vendimit e Këshillit të Ministrave nr. 171, datë 27.03.2019.</t>
  </si>
  <si>
    <t>7.1.11</t>
  </si>
  <si>
    <t>7.1.12</t>
  </si>
  <si>
    <t>7.1.13</t>
  </si>
  <si>
    <t>Raportimi pranë institucioneve kompetente për të gjitha shkeljet që evidentohen në terren, përgjatë monitorimeve të përditshme, me qëllim marrjen e masave për parandalimin e tyre.</t>
  </si>
  <si>
    <t>Masa: 8 Garantimi i sigurisë publike gjatë sezonit turistik.</t>
  </si>
  <si>
    <t>8.1.1</t>
  </si>
  <si>
    <t xml:space="preserve">Hartimi, monitorimi dhe zbatimi i Planit të masave  "Për garantimin e rendit dhe sigurise publike në zonat malore, bregdetare dhe zona te tjera turistike, rritjen e parametrave te sigurisë rrugore, menaxhimi i hyrje daljeve në kufi gjatë sezonit vjetor turistik 2024". </t>
  </si>
  <si>
    <t>8.1.2</t>
  </si>
  <si>
    <t xml:space="preserve">Hartimi, monitorimi dhe zbatimi i Planit të masave "Për garantimin e rendit dhe sigurisë publike gjatë sezonit turistik gjithë vjetor". </t>
  </si>
  <si>
    <t>Krijimi i Njësisë Policore Detare, për mbikqyrjen dhe zbatimin e akteve ligjore e nënligjore për lundrimin e mjeteve ujore argëtuese, sportive etj dhe parandalimin e ngjarjeve që mund të shkaktohen gjatë lundrimit të tyre.</t>
  </si>
  <si>
    <t>Monitorimi i masave dhe shërbimeve të strukturave vendore të policisë për garantimin e rendit dhe sigurisë publike gjatë sezonit veror turistik në veçanti gjatë fundjavës ku dhe fluksi i pushuesve dhe i lëvizjes së mjeteve është më i madh.</t>
  </si>
  <si>
    <t>8.1.5</t>
  </si>
  <si>
    <t>Ngritja e stacioneve/shërbimeve shtesë të Policisë së Shtetit në zona me fluks të shtuar turistik.</t>
  </si>
  <si>
    <t>8.1.6</t>
  </si>
  <si>
    <t xml:space="preserve">Marrja e masave nga institucionet përgjegjëse në zonat bregdetare për krijimin e hapësirave të ‘Plazheve të lira’ në kuadër të luftës kundër informalitetit dhe shfrytëzimit të paligjshëm të plazheve.
</t>
  </si>
  <si>
    <t>8.1.7</t>
  </si>
  <si>
    <t>Parandalimi i ngjarjeve kriminale, gjatë sezonit turistik veror për turistët e huaj dhe ata vendas.</t>
  </si>
  <si>
    <t>8.1.8</t>
  </si>
  <si>
    <t>Marrja e masave dhe kontrolli për parandalimin dhe goditjen e veprimtarisë së paligjshme që mund të zhvillohet nga subjekte të paliçencura ose me licencë për veprimtarinë e transportit turistik.</t>
  </si>
  <si>
    <t>8.1.10</t>
  </si>
  <si>
    <t>Inspektimi i subjekteve ushqimore në zonat tursitike, në kuadër të garantimit të sigurisë ushqimore dhe garantimit te kushteve të duhura të tregtimit.</t>
  </si>
  <si>
    <t>8.1.11</t>
  </si>
  <si>
    <t>8.1.12</t>
  </si>
  <si>
    <t>Organizimi i takimeve/mbledhjeve/tryezave teknik me përfaqësues të organeve të qeverisjes vendore, në lidhje me zbatimin e detyrimeve ligjore për marrjen e masave të plota për sezonin turistik, në lidhje me aktivitetet në hapësirën detare dhe liqenore.</t>
  </si>
  <si>
    <t>8.1.13</t>
  </si>
  <si>
    <t>Hartimi i planeve të përbashkëta koordinimi për menaxhimin e trafikut dhe rritjen e sigurisë në akset rrugore kryesisht në fundjavë në zonat turistike.</t>
  </si>
  <si>
    <t>8.1.14</t>
  </si>
  <si>
    <t>Kontrolli i mjeteve të transportit të turistëve që kanë lidhur kontratë me operatorin/agjencinë turistike.</t>
  </si>
  <si>
    <t xml:space="preserve">Kontrolli i stacioneve të plazhit nga njësitë përgjegjëse lidhur me garantimin me shërbimin e vrojtueseve si dhe garantimin e sigurisë për sinjalizimin dhe kufizimin me bova përgjatë gjithë kohës që subjekti ushtron aktivitetin e tij sipas legjislacionit në fuqi. 
</t>
  </si>
  <si>
    <t>8.1.15</t>
  </si>
  <si>
    <t>Garantimi i qetësisë publike në zonat urbane, si dhe në zonat turistike lidhur me nivelin kufi të zhurmave në mjedise të caktuara.</t>
  </si>
  <si>
    <t>8.1.16</t>
  </si>
  <si>
    <t>Kryerja e kontrollove ndaj operatorëve ekonomikë lidhur me shklejen e masave të mbrojtjes nga zhurma.</t>
  </si>
  <si>
    <t>Masa 9. Rritja e parametrave të Sigurisë Rrugore, ulje të aksidenteve dhe fataliteteve.</t>
  </si>
  <si>
    <t>9.1.1</t>
  </si>
  <si>
    <t>9.1.2</t>
  </si>
  <si>
    <t xml:space="preserve">Monitorimi i akseve rrugore në kuadër të uljes së aksidenteve dhe fataliteteve. </t>
  </si>
  <si>
    <t>Intesifikimi i monitorimit të akseve rrugore/qarkullimit rrugor nëpërmjet radarëve, makinave inteligjente, droneve për të evidentuar shkelësit e rregullave të qarkullimit rrugor.</t>
  </si>
  <si>
    <t>9.1.4</t>
  </si>
  <si>
    <t>9.1.5</t>
  </si>
  <si>
    <t>Miratimi i ndryshimeve në Kodin Rrugor.</t>
  </si>
  <si>
    <t>9.1.7</t>
  </si>
  <si>
    <t>Përafrimi i  legjislacionit, hartimi i akteve ligjore e nënligjore në përputhje me direktivat e BE-së.</t>
  </si>
  <si>
    <t>9.1.8</t>
  </si>
  <si>
    <t>Digjitalizimi i sistemeve, rritja e kapaciteteve të sistemit e-gjoba, AIS dhe ndërveprimi i tij me sistemet e tjera.</t>
  </si>
  <si>
    <t>9.1.9</t>
  </si>
  <si>
    <t>Masa 10. Përdorimi i teknologjive të reja për kontrollin e territorit</t>
  </si>
  <si>
    <t>10.1.2</t>
  </si>
  <si>
    <t>Monitorim i territorit të zonave të mbrojtura sipas metodave dhe informacionit digjitale, etj.</t>
  </si>
  <si>
    <t>10.1.3</t>
  </si>
  <si>
    <t xml:space="preserve">Riinxhinerimi i shërbimeve publike në bashkëpunim me AKSHI-in të cilat ofrohen nga Policia e Shtetit apo Gjendja Civile </t>
  </si>
  <si>
    <t>10.1.4</t>
  </si>
  <si>
    <r>
      <t xml:space="preserve"> </t>
    </r>
    <r>
      <rPr>
        <sz val="10"/>
        <color rgb="FF000000"/>
        <rFont val="Times New Roman"/>
        <family val="1"/>
      </rPr>
      <t>Mbledhja dhe Raportimi periodik i Komitetit Ndërministror për Sigurinë Rrugore.</t>
    </r>
  </si>
  <si>
    <t>Objektivi specifik 2.1 Përmirësimi i komunikimit me publikun.</t>
  </si>
  <si>
    <t>Masa 11. Hartimi dhe zbatimi i masave të reja për të përmirësuar kontaktet e drejtëpërdrejta me publikun dhe komunitetet.</t>
  </si>
  <si>
    <t>11.1.3</t>
  </si>
  <si>
    <t xml:space="preserve">Zhvillimi i Seancave ndërgjegjësuese nga punonjësit e shërbimit psiko-social dhe oficerët e sigurisë me nxënës, mësues, drejtues të shkollave, prindër për dhunën, bullizmin dhe ekstremizmin në shkolla të fëmijëve dhe adoleshentëve. </t>
  </si>
  <si>
    <t>11.1.4</t>
  </si>
  <si>
    <t>Zhvillimi i Fushatave të ndërgjegjësimi për të gjitha format e dhunës ndaj fëmijëve në nevojë për mbrojtje ose në në në rrezik ndaj formave të ndryshme të dhunës.</t>
  </si>
  <si>
    <t>11.1.5</t>
  </si>
  <si>
    <t>Hartimi dhe zbatimi i një programi në bashkëpunim me komunitetin për parandalimin dhe shuarjen e zjarreve.</t>
  </si>
  <si>
    <t>11.1.6</t>
  </si>
  <si>
    <t>Ngritja e grupeve të përbashkëta me komunitetin për përballimin e situateve emergjente brenda zonave të mbrojtura.</t>
  </si>
  <si>
    <t>11.1.7</t>
  </si>
  <si>
    <t>11.1.8</t>
  </si>
  <si>
    <t xml:space="preserve">Zhvillimi i Aktiviteteve informuese kundër diskriminimit për komunitete si Romë-Egjiptianë, PAK, LGBTI, të moshuarit, </t>
  </si>
  <si>
    <t>11.1.9</t>
  </si>
  <si>
    <t>Organizimi i takimeve të përbashkëta dhe koordinimi me komunitetin, shoqatat, subjektet që ushtrojnë aktivitete të ndryshme brenda zonave të mbrojtura, pushtetin vendor mbi angazhimin efektiv në raste të emergjencave.</t>
  </si>
  <si>
    <t>11.1.10</t>
  </si>
  <si>
    <t>11.1.11</t>
  </si>
  <si>
    <t>Zhvillimi i Kampit Veror të Sigurisë Rrugore me fëmijë të moshave 10-12 vjeç</t>
  </si>
  <si>
    <t xml:space="preserve">Masa 12. Hartimi dhe zbatimi i masave për të përmirësuar komunikimin nëpërmjet mediave teknologjike </t>
  </si>
  <si>
    <t xml:space="preserve">Informimi nëpërmjet mediave dhe rrjeteve sociale mbi rreziqet dhe masat parandaluese për cdo rast të emergjencave. </t>
  </si>
  <si>
    <t>Planifikimi dhe zhvillimi i veprimtarive publicitare në media të shkruara, vizive dhe ato sociale, në interes të përmirësimit të komunikimit.</t>
  </si>
  <si>
    <t>Përditësimi i hartës së aksidenteve rrugore (hotspot), publikimi dhe vënia në dispozicion e agjencive turistike, në bashkëpunim me Drejtoritë Vendore të Policisë.</t>
  </si>
  <si>
    <t>Njoftime të vazhdueshme të ndryshme për publikun mbi gjendjen e trafikut të rrugëve në media vizive dhe rrjete sociale.</t>
  </si>
  <si>
    <t>Përditësimi i Programit të transparencës dhe publikimi i raporteve vjetore të çështjeve që lidhen me sigurinë në komunitet (rregjistri i kërkesave dhe përgjigjeve).</t>
  </si>
  <si>
    <t xml:space="preserve">Masa 13. Funksionimi i  plotë i Këshillave Vendorë të Sigurisë Publike (KVSP) </t>
  </si>
  <si>
    <t>13.1.1</t>
  </si>
  <si>
    <t>Miratimi i ndryshimeve të ligjit “Për Prefektin e Qarkut”.</t>
  </si>
  <si>
    <t>Dërgimi i Propozimit të Prefektit të qarkut pranë njësive të vetëqeverisjes vendore, për ngritjen e Këshillave Vendor të Sigurisë Publike (KVSP), për kryerjen e funksioneve të veçanta për rendin dhe sigurinë publike në komunitet”.</t>
  </si>
  <si>
    <t>13.1.3</t>
  </si>
  <si>
    <t>13.1.4</t>
  </si>
  <si>
    <t>13.1.5</t>
  </si>
  <si>
    <t>Hartimi i PSV-ve për mënyrën e evidentimit, transmetimit të informacioneve/rasteve, adresimit dhe trajtimit/veprimit të anëtarëve të KVSP (sipas rasteve që trajtohen).</t>
  </si>
  <si>
    <t>13.1.6</t>
  </si>
  <si>
    <t>13.1.7</t>
  </si>
  <si>
    <t>Raportime periodike të çështjeve të adresuara në KVSP, mbledhjeve të zhvilluara, nga anëtarët e këshillit.</t>
  </si>
  <si>
    <t>Pjesëmarrja në takime nga strukturat e AKZM-se dhe Administratave të zonave të mbrojtura në qarqe me KVSP mbi informimin dhe masat që merren në raste të emergjencave në zonat e mbrojtura.</t>
  </si>
  <si>
    <t xml:space="preserve">Informimi i komunitetit të zonave të mbrojtura mbi ndryshimet e reja ligjore. </t>
  </si>
  <si>
    <t>Hartimi dhe miratimi i VKM-së për krijimin dhe funksionimin e Këshillit Kombëtar për Sigurinë në Komunitet (KKSK) në zbatim të ligjit “Për Prefektin e Qarkut”.</t>
  </si>
  <si>
    <t>Masa 14. Fuqizimi i roleve të aktorëve të tjerë që kontribuojnë në sigurinë në komunitet.</t>
  </si>
  <si>
    <t>Fuqizimi i rrjetit të shkollave-qendra komunitare si burim për të nxënit e komunitetit dhe shfrytëzimin e burimeve të komunitetit për zhvillimin e fëmijëve, të rinjve dhe familjeve.</t>
  </si>
  <si>
    <t>Organizimi i takimeve midis nxënësve dhe prindërve të shkollave të ndryshme në qendrat komunitare për të shkëmbyer përvoja dhe ide mbi sigurinë e të rinjve.</t>
  </si>
  <si>
    <t>14.1.4</t>
  </si>
  <si>
    <t>Zhvillimi i takimeve të përbashkëta të oficerëve të sigurisë me policët e patrullimit të komunitetit, me fokus kontrollin sa më të plotë dhe efektiv të territorit të shkollës dhe përreth saj;</t>
  </si>
  <si>
    <t>14.1.5</t>
  </si>
  <si>
    <t xml:space="preserve">Shkëmbimi i përvojave të oficerëve të sigurisë me policët e patrullimit të komunitetit ndërmjet shkollave në ZVAP.
</t>
  </si>
  <si>
    <t>14.1.6</t>
  </si>
  <si>
    <t xml:space="preserve">Informimi i komunitetit mbi rolin dhe funksionimin e oficerit të sigurisë dhe policëve të patrullimit. </t>
  </si>
  <si>
    <t>14.1.7</t>
  </si>
  <si>
    <t>Zhvillimi i takimeve për shkëmbim përvoje midis punonjësve të SHPS-së në shkolla, lidhur me trajtimin e rasteve që kanë cënuar apo rrezikuar sigurinë e nxënësve në shkolla.</t>
  </si>
  <si>
    <t>14.1.8</t>
  </si>
  <si>
    <t xml:space="preserve">Hartimi i planeve nga punonjësit e shërbimit psiko-social dhe oficerët e sigurisë për seanca ndërgjegjësuese për dhunën, bullizmin dhe ekstremizmin në shkolla të fëmijëve dhe adoleshentëve. </t>
  </si>
  <si>
    <t>14.1.9</t>
  </si>
  <si>
    <t>14.1.10</t>
  </si>
  <si>
    <t xml:space="preserve">Fuqizimi i kapaciteteve të koordinatorëve kundër dhunës në familje dhe punonjësit për mbrojtjen e fëmijëve në nivel vendor. </t>
  </si>
  <si>
    <t>14.1.11</t>
  </si>
  <si>
    <t>14.1.12</t>
  </si>
  <si>
    <t>Ngritja e një funksioni të dedikuar për trajtimin e çështjeve të dhunës në familje dhe të të miturve në komisariate.</t>
  </si>
  <si>
    <t>14.1.13</t>
  </si>
  <si>
    <t>Inspektim mbi masat dhe mjeteve për rritjen dhe garantimin e sigurisë publike nga zjarri dhe garantimin e standardeve të shpëtimit</t>
  </si>
  <si>
    <t>14.1.14</t>
  </si>
  <si>
    <t>14.1.15</t>
  </si>
  <si>
    <t>Fuqizimi i kapaciteteve të personelit të kujdesit shëndetësor për raportimin e rasteve të dhunës dhe  përdorimin e PSV në trajtimin e  rasteve të dhunës në familje dhe dhunës ndaj grave, edhe në situata të emergjencave civile.</t>
  </si>
  <si>
    <t>Masa 15. Krijimi i një fondi të veçantë për sigurinë në komunitet.</t>
  </si>
  <si>
    <t xml:space="preserve"> Objektivi specifik 3.1. Përmirësimi i strukturave në shërbim të komunitetit dhe krijimi i një strukture të posaçme të dedikuar për policimin në komunitet</t>
  </si>
  <si>
    <t>Masa 16. Analizimi i Kuadrit ligjor gjithëpërfshirës që rregullon kompetencat dhe ndërveprimin mes aktorëve nga niveli qendror tek ai vendor për sigurinë publike.</t>
  </si>
  <si>
    <t>16.1.4</t>
  </si>
  <si>
    <t>Masa 17. Rritja e kapaciteteve dhe fuqizimi i burimeve njerëzore.</t>
  </si>
  <si>
    <t>Kryerja e trajnimeve dhe kualifikimeve për policimin në komunitet dhe bashkëpunimin me aktorët e tjerë në zonën policore.</t>
  </si>
  <si>
    <t>17.1.2</t>
  </si>
  <si>
    <t>Forcimi i kapaciteteve të institucioneve publike dhe private lidhur me ofrimin e trajnimeve për punonjësit.</t>
  </si>
  <si>
    <t>17.1.3</t>
  </si>
  <si>
    <t>17.1.4</t>
  </si>
  <si>
    <t>17.1.5</t>
  </si>
  <si>
    <t xml:space="preserve">Trajnimi në terren i kursantëve  për “Patrullë e përgjithshme”. </t>
  </si>
  <si>
    <t>Masa 18. Krijimi i zyrave të reja në zonat policore urbane dhe ato rurale</t>
  </si>
  <si>
    <t>Studimi i vizibilitetit për hapjen e zyrave të reja Policore urbane dhe ato rurale.</t>
  </si>
  <si>
    <t>Hartimi i një studimi mbi kënaqësinë e punonjësve të policisë në punë dhe metodat e motivimit të tyre.</t>
  </si>
  <si>
    <t xml:space="preserve">                                                                                                                                          Hartimi i analizës së rreziqeve të identifikuar nga prindërit, mësuesit, strukturat policore, punonjësit social, punonjësit të fëmijëve, psikologëve që paraqesin rrezik për sigurinë e fëmijëve/nxënësve gjatë shkuarjes në shkollë apo kthimit të tyre në shtëpi.
 </t>
  </si>
  <si>
    <t>Policia e Shtetit</t>
  </si>
  <si>
    <t>Bashkitë 
KSVP; 
Ministritë e linjës</t>
  </si>
  <si>
    <t>Ministria e Shëndetësisë dhe Mbrojtjes Sociale</t>
  </si>
  <si>
    <t>DVP</t>
  </si>
  <si>
    <t>AKSHI</t>
  </si>
  <si>
    <t>Ministria e Shëndetësise dhe Mbrojtes Sociale</t>
  </si>
  <si>
    <t>Prefekturat</t>
  </si>
  <si>
    <t>OSHC</t>
  </si>
  <si>
    <t>Ministria e Brendshme</t>
  </si>
  <si>
    <t>MB/Prefekturat</t>
  </si>
  <si>
    <t>DPSH/Policia Bashkiake/AKU/ISSH</t>
  </si>
  <si>
    <t>PSH; Policia Bashkiake</t>
  </si>
  <si>
    <t>Autoriteti Kombëtar i Ushqimit</t>
  </si>
  <si>
    <t xml:space="preserve">Inspektorati Kombëtar i Mbrojtes së Terriorit </t>
  </si>
  <si>
    <t>MAS</t>
  </si>
  <si>
    <t xml:space="preserve">Ministria e Arsimit dhe Sportit </t>
  </si>
  <si>
    <t xml:space="preserve">Policia e Shtetit
</t>
  </si>
  <si>
    <t>Ministria e Shëndetësisë dhe Mbrojtes Sociale</t>
  </si>
  <si>
    <t>Agjencia Kombëtare e Arsimit Parauniversitar</t>
  </si>
  <si>
    <t>ZVAP</t>
  </si>
  <si>
    <t>PSH</t>
  </si>
  <si>
    <t>MAS/MIE</t>
  </si>
  <si>
    <t>Ministria e Turizmit dhe Mjedisit</t>
  </si>
  <si>
    <t xml:space="preserve">Drejtoria e Përgjithshme  e Mbrojtes nga Zjarri dhe për Shpëtimin
</t>
  </si>
  <si>
    <t>Bashkitë/AMVV/Prefekturat</t>
  </si>
  <si>
    <t>Ministria e Drejtësisë</t>
  </si>
  <si>
    <t>Qendra e Parandalimit të Krimeve të të Miturve dhe të Rinjve</t>
  </si>
  <si>
    <t>Shërbimi i Provës</t>
  </si>
  <si>
    <t>Polica e Shtetit</t>
  </si>
  <si>
    <t>IKMT</t>
  </si>
  <si>
    <t>MTM</t>
  </si>
  <si>
    <t>Agjencitë Rajonale të Bregdetit Lezhë, Durrës, Vlorë, Sarandë</t>
  </si>
  <si>
    <t xml:space="preserve">Agjencia Kombëtare e Bregdetit </t>
  </si>
  <si>
    <t>Ministria e Turizmit dhe Mjedisit/Policia e Shtetit</t>
  </si>
  <si>
    <t xml:space="preserve">Departamenti i Sigurisë Publike </t>
  </si>
  <si>
    <t>Departamenti për Sigurinë Publike</t>
  </si>
  <si>
    <t xml:space="preserve">Autoriteti Kombëtar i Ushqimit </t>
  </si>
  <si>
    <t>Policia Bashkiake</t>
  </si>
  <si>
    <t>Drejtoria e Teknologjsë së Informacionit/PSH</t>
  </si>
  <si>
    <t>MTMT</t>
  </si>
  <si>
    <t>Burimi i Financimit 2024-2026</t>
  </si>
  <si>
    <t>AKAP/MAS</t>
  </si>
  <si>
    <t>Drejtoria e Përgjithshme e Shërbimeve të Transportit Rrugor</t>
  </si>
  <si>
    <t>Bashkitë</t>
  </si>
  <si>
    <t>Oficerë të Sigurisë/PSH</t>
  </si>
  <si>
    <t xml:space="preserve">Ministria e Shëndetësisë dhe Mbrojtjes Sociale
</t>
  </si>
  <si>
    <t>Qendra e Koordinimit Kundër Ekstremizmit të Dhunshëm</t>
  </si>
  <si>
    <t>ZVAP/IAPP</t>
  </si>
  <si>
    <t>Qendra e Koordinimit Kundër Ekstremizmit të Dhunshëm.</t>
  </si>
  <si>
    <t>Kolegji Profesional i Formimit Policor</t>
  </si>
  <si>
    <t>92602AB</t>
  </si>
  <si>
    <t>'92602AB</t>
  </si>
  <si>
    <t>Agjencia Rajonale e Mjedisit</t>
  </si>
  <si>
    <t xml:space="preserve">    </t>
  </si>
  <si>
    <t>Monitorimi i zonave që kanë prezencë të mbetjeve urbane të ngurta dhe mbetje të tjera me impakt negativ në mjedis, përgjatë akseve kombëtare dhe atyre që të çojnë në destinacionet turistike dhe raportimin pranë Ministrisë së Turizmit dhe Mjedisit, Agjencisë Kombëtare të Mjedisit, Autoritetit Rrugor Shqiptar, Njësive Vendore dhe Prefekturës përkatëse.</t>
  </si>
  <si>
    <t>Programi Buxhetor " Zhvillimi I Turizmit" 04760</t>
  </si>
  <si>
    <t>ISHSH</t>
  </si>
  <si>
    <t xml:space="preserve">
Policia e Shtetit</t>
  </si>
  <si>
    <t xml:space="preserve">Kontrolli i përmbushjes së detyrimit të vendosjes së sinjalistikës vertikale dhe horizontale pranë çdo shkolle të arsimit parashkollor dhe parauniversitar, privat dhe publik, në Republikën e Shqipërisë, për displinimin e lëvizjeve të automjeteve dhe të këmbësorëve brenda perimetrit të sigurisë në shkolla. </t>
  </si>
  <si>
    <t>Mbledhja, analizimi dhe shkëmbimi i informacioneve/evidencave në mënyrë proaktive për çështje që shqetësojnë komunitetin nga AMMV-ja me aktorët e tjerë të KVSP-ve me qëllim parandalimin dhe trajtimin e rasteve.</t>
  </si>
  <si>
    <t>Qendra e Koordinimit kundër Ekstremizmit të Dhunshëm</t>
  </si>
  <si>
    <t>Organizimi i trajnimeve/sesioneve informuese mbi përdorimin e fikseve të zjarrit në shkolla.</t>
  </si>
  <si>
    <t>6.1.19</t>
  </si>
  <si>
    <t>Kryerja e aktiviteteve ndërgjegjësuese dhe edukuese lidhur me të gjitha format e kërcënimeve në hapësirën kibernetike për të gjitha grupet e shoqërisë.</t>
  </si>
  <si>
    <t>6.1.20</t>
  </si>
  <si>
    <t>Bashkëpunimi dhe bashkërendimi i punës me të gjitha institucionet përgjegjëse për sigurinë dhe mbrojtjen e fëmijëve dhe të rinjve online.</t>
  </si>
  <si>
    <t>6.1.21</t>
  </si>
  <si>
    <t xml:space="preserve">Organizimi i takimeve dhe fushatave ndërgjegjësuese me punonjësit në shkolla, prindër dhe edukatorët në lidhje me rreziqet dhe problemet me të cilat përballen fëmijët në Internet. </t>
  </si>
  <si>
    <t>6.1.22</t>
  </si>
  <si>
    <t>Zhvillimi i programeve të trajnimit për Punonjësit e Mbrojtjes së Fëmijës lidhur me trajtimin e rasteve të fëmijëve në nevojë për mbrojtje ku rreziku i dhunës, abuzimit, shfrytëzimit apo neglizhimit lidhet me internetin dhe teknologjitë e informacionit.</t>
  </si>
  <si>
    <t xml:space="preserve">Promovimi  i mekanizmave ekzistues të aplikuar për sigurinë e fëmijëve në Internet nëpërmjet bashkëpunimit me ofruesit e shërbimit të internetit. </t>
  </si>
  <si>
    <t>Autoriteti Kombëtar për Sigurinë Kibernetike (AKSK)</t>
  </si>
  <si>
    <t>MAS, MSHMS (ASHDMF), MB</t>
  </si>
  <si>
    <t>MSHMS (ASHDMF)</t>
  </si>
  <si>
    <t>Mbledhja e Task-Forcëa dhe Komitetit të Menaxhimit të Sezonit Turistik përgjatë sezonit turistik mbi problematikat dhe masat e marra.</t>
  </si>
  <si>
    <t>Studimi i vizibilitetit për paisjen me kamera sigurie.</t>
  </si>
  <si>
    <t xml:space="preserve">Donatorë
Institucionet
shtetërore në
nivel vendor;
DPPSH-DVP </t>
  </si>
  <si>
    <t>Planifikimi dhe zhvillimi i takimeve nga NSPK/Ndihmës Specialistët/SPZ me oficerët e sigurisë në shkolla, me qytetarët në lagje, fshatra.</t>
  </si>
  <si>
    <t>Ndërgjegjësimi për zbatimin e rregullave të qarkullimit rrugor në shkollat 9-vjecare dhe të mesme.</t>
  </si>
  <si>
    <r>
      <t xml:space="preserve"> </t>
    </r>
    <r>
      <rPr>
        <sz val="10"/>
        <color rgb="FF000000"/>
        <rFont val="Times New Roman"/>
        <family val="1"/>
      </rPr>
      <t>Autoriteti Kombëtar për Sigurinë Kibernetike (AKSK)</t>
    </r>
  </si>
  <si>
    <t>Angazhimi i shoqërisë civile, OJF, komuniteteve fetare dhe grupet rinore, në diskutime dhe vendimmarrje në nivel vendor.</t>
  </si>
  <si>
    <t xml:space="preserve">
Analizimi i ndryshimeve konceptuale ndërmjet sigurisë në komunitet dhe sigurisë publike me qëllim gjithpërfshirjen e komponentëve të sigurisë në rang kombëtar.</t>
  </si>
  <si>
    <t xml:space="preserve">Ngritje kapacitetesh për Ndihmës Specialist/SPZ në kuadër të parandalimit dhe riintegrimit. </t>
  </si>
  <si>
    <t>Autoriteti Kombëtar për Sigurinë Kibernetike (AKSK) </t>
  </si>
  <si>
    <t>ASPA</t>
  </si>
  <si>
    <t>Masa 19 : Motivimi i punonjësve të policisë të zonës policore.</t>
  </si>
  <si>
    <t>Programi Buxhetor "Arsimi i Ulet" 09120, "Arsimi i Mesem" 09230.</t>
  </si>
  <si>
    <t>Hartimi i analizave të përbashkëta mbi problematikat gjatë kontrollit të territorit në perimetrin e sigurisë në shkolla.</t>
  </si>
  <si>
    <t>AKAP</t>
  </si>
  <si>
    <t>Zhvillimi i trajnimit të drejtuesve të shkollave për njohjen e përgjegjësive ligjore që kanë strukturat brenda IA-ve për konstatimin dhe raportimin e veprimtarisë kriminale, paligjshmërisë dhe sjelljeve antishoqërore rreth objekteve shkollore me qëllim parandalimin e tyre.</t>
  </si>
  <si>
    <t>Programi Buxhetor "Policia e Shtetit" 03140  91604AA</t>
  </si>
  <si>
    <t>Programi Buxhetor "Policia e Shtetit" 03140  91604AR</t>
  </si>
  <si>
    <t>Programi Buxhetor "Policia e Shtetit" 03140 Kodi 91604AA</t>
  </si>
  <si>
    <t>Programi Buxhetor "Policia e Shtetit" 03140  Kodi 91604AA</t>
  </si>
  <si>
    <t>Programi Buxhetor "Policia e Shtetit" 03140  Kodi 91604AR</t>
  </si>
  <si>
    <t>Programi Buxhetor "Policia e Shtetit" 03140  Kodi 91604AP</t>
  </si>
  <si>
    <t>Programi Buxhetor "Policia e Shtetit" 03140 91604AJ</t>
  </si>
  <si>
    <t>Programi Suedez
SCPA</t>
  </si>
  <si>
    <t>Programi Buxhetor "Arsimi i Ulet" 09120, "Arsimi i Mesem" 09230</t>
  </si>
  <si>
    <t>Plotësimi i formularëve të vlerësimit të risqeve  nga oficerët e sigurisë në shkolla me  informacion që vlerësohet se cënon sigurinë në shkolla dhe dërgimi i raportit përmbledhës në fund të çdo muaji në Drejtoritë Vendore të Policisë së Shtetit.</t>
  </si>
  <si>
    <t>Prokuroritë e Juridiksionit të Përgjithshëm</t>
  </si>
  <si>
    <t>Policia Bashkiake, PSH/MZHBR/Prefekturat</t>
  </si>
  <si>
    <t>Agjencia Kombëtare e Arsimit Parauniversitar/MAS</t>
  </si>
  <si>
    <t>IAPP</t>
  </si>
  <si>
    <t>Agjencia e Sigurimit të Cilësisë së Arsimit Parauniversitar/MAS</t>
  </si>
  <si>
    <t>Mbledhja dhe analizimi, grumbullimi dhe shkëmbimi i informacioneve të ndryshme policore që kanë të bëjnë me persona apo grupe të dyshuara që ushtrojnë veprimtari kriminale apo të paligjshme në territor.</t>
  </si>
  <si>
    <t>KSVP; Institucioni i Prefektit;
Institucionet shtetërore;</t>
  </si>
  <si>
    <t>Hartimi i planeve të veprimit/masave parandaluese në lidhje me çështje të rëndësishme për rendin dhe sigurinë publike në zonat e nxehta.</t>
  </si>
  <si>
    <t>Vlerësimi i treguesve të punës dhe informacioneve të strukturave të Policisë së Shtetit lidhur mbledhjet e organizuara nga KVSP-të dhe trajtimit të rasteve.</t>
  </si>
  <si>
    <t>Përmirësimi i metejshem i sistemit të Komisariatit Dixhital dhe vënia në funksion e tij.</t>
  </si>
  <si>
    <t>Masa 4. Parandalimi nëpërmjet evidentimit dhe ndërgjegjësimit i orientuar nga inteligjenca dhe informacioni.</t>
  </si>
  <si>
    <t>Mbledhja, analizimi dhe shkëmbimi i informacioneve/evidencave në mënyrë proaktive për çështje që shqetësojnë komunitetin nga DVP-të i orientuar nga inteligjenca dhe informacioni me aktorët e tjerë të KVSP-ve me qëllim parandalimin dhe trajtimin e rasteve.</t>
  </si>
  <si>
    <t>Implementim i ligjit nr. 19/2016, “Për masat shtesë të sigurisë publike”, të shërbimit të ri elektronik në platformën e- Albania, "Aplikim për regjistrimin e kamerave të sigurisë" si dhe akteve nënligjore.</t>
  </si>
  <si>
    <t xml:space="preserve">Policia e Shtetit 
</t>
  </si>
  <si>
    <t>Bashkitë/Prefekturat/MSHMS/Koordinatori për dhunën në familje</t>
  </si>
  <si>
    <t>Bashkëpunimi mes Policisë së Shtetit dhe Koordinatorit Vendor për Dhunën në Familje për evidentimin, referimin dhe trajtimin e rasteve të dhunës në familje.</t>
  </si>
  <si>
    <t>Pajisja e subjekteve nga Policia e Shtetit me risk të lartë me vërtetim sigurie bazuar në ligjin “Për masat shtesë të sigurisë publike”.</t>
  </si>
  <si>
    <t>Hartimi dhe zbatimi i planeve të kontrollit ndaj subjekteve fizikë e juridikë të licencuar/autorizuarpër veprimtarinë me lëndët plasëse e piroteknike, për zbatimin me përgjegjësi të kërkesave e detyrimeve të përcaktuara në aktet ligjore e nënligjore në zbatim të tij.</t>
  </si>
  <si>
    <t>DPPSH/DVP;DAR</t>
  </si>
  <si>
    <t>DRAP;DVP</t>
  </si>
  <si>
    <t>Organizimi i aktiviteteve ndërgjegjësuese mbi parandalimin e fenomeneve të dhunshme dhe rrezikshme për shëndetin publik dhe komunitetin, si: abuzimi me drogat dhe alkoolin, problemet e shëndetit mendor,parandalimi i dhunës fizike/psikologjike/seksuale në familje, parandalimi i dhunës fizike/psikologjike/seksuale tek të miturit,  parandalimi i radikalizmit dhe ekstremizmit të dhunshëm, sjelljet e shëndetshme, etj.</t>
  </si>
  <si>
    <t>Zyra Vendore e Arsimit Parauniversitar</t>
  </si>
  <si>
    <t xml:space="preserve">OSCE;IDM; IPO </t>
  </si>
  <si>
    <t xml:space="preserve">Organizimi i aktiviteteve artistike me tematika kundër bullizmit, veçanërisht bullizmit kibernetik, ekstremizmit dhe radikalizmit.
</t>
  </si>
  <si>
    <t>Organizimi  i sesioneve informuese në arsimin parauniversitar lidhur me parandalimin e krimeve të të miturve dhe të rinjve si dhe lidhur me rikthimin në komunitet të të rinjve të dënuar.</t>
  </si>
  <si>
    <t>6.1.2</t>
  </si>
  <si>
    <t>Organizimi i inspektimeve të përbashkëta mes IKMT dhe PSH për çdo ndërhyrje të paligjshme në territor.</t>
  </si>
  <si>
    <t>Monitorimi i zhvillimeve dhe ndërhyrjeve në zonën bregdetare, si dhe bashkëpunimi me institucionet kompetente që operojnë në zonën bregdetare dhe në zonat ku ushtrohen veprimtari turistike.</t>
  </si>
  <si>
    <t>Programi Buxhetor " Zhvillimi i Turizmit" 04761</t>
  </si>
  <si>
    <t>Programi Buxhetor "Zhvillimi i Turizmit" 04760</t>
  </si>
  <si>
    <t xml:space="preserve">Kontribut për hartimin e Strategjisë së Kombëtare për Sigurinë Rrugore, për vitin 2024 – 2030. </t>
  </si>
  <si>
    <t xml:space="preserve">Policia e Shtetit </t>
  </si>
  <si>
    <t>Parandalimi i aksidenteve kryesisht në rrugët interurbane dytësore dhe urbane kryesore gjatë periudhave të fluksit.</t>
  </si>
  <si>
    <t>15.1.2</t>
  </si>
  <si>
    <t xml:space="preserve">Prefekti i Qarkut </t>
  </si>
  <si>
    <t xml:space="preserve">Prefektët e Qarqeve </t>
  </si>
  <si>
    <t>Zhvillimi i fushatave/aktiviteteve ndërgjegjësuese për çështjet e sigurisë në nivel vendor.</t>
  </si>
  <si>
    <t>Hartimi i “Planeve specifike të Komunikimit të Sigurisë Vendore”.</t>
  </si>
  <si>
    <t>Bashkëpunimi për kontributin dhe rolin aktiv të koordinatorëve vendorë kundër dhunës në familje në KVSP dhe veçanërisht me Policinë e Shtetit për hartimin e vlerësimit të riskut dhe raportimin në mënyrë periodike pranë strukturave vendore të Policisë së Shtetit të zbatimit të masave të UMM/UM.</t>
  </si>
  <si>
    <t>Pajisja e Policisë së Shtetit me dronë, mjete inteligjente dylbi, GPS, tableta për kontrollin e territorit.</t>
  </si>
  <si>
    <t>Zhvillimi i fushatave të ndërgjegjësimit në mediat sociale mbi forma të ndryshme të dhunës ndaj grave dhe dhunës në familje, fizike, psikologjike apo seksuale, e përshtatur për grupe të caktuara në komunitet.</t>
  </si>
  <si>
    <t>Realizimi i videove sensibilizuese për tematika të ndryshme, duke filluar me video për kontrollin e territorit për parandalimin e kultivimit të kanabisit, për sezonin turistik, për parandalimin e aksidenteve rrugore, bashkëpunimin me shkollat, pasqyrim të denoncimeve të qytetarëve për shkelje të kodit rrugor, dhënie ndihmë komunitetit etj.</t>
  </si>
  <si>
    <t>Ngritja e strukturës së posaçme për raportimin e veprimtarisë dhe rezultateve në zonat e mbrojtura.</t>
  </si>
  <si>
    <t>Hartimin dhe miratimi i VKM-së përmirësimin e kuadrit ligjor për përbërjen, rregullat më të hollësishme të organizimit dhe funksionimit të Këshillave Vendor të Sigurisë Publike (KVSP) në zbatim të ligjit “Për Prefektin e Qarkut”.</t>
  </si>
  <si>
    <t xml:space="preserve">Propozime mbi ndryshimin e ligjit "Për shërbimin e mbrojtjes nga zjarri dhe shpëtimi" dhe akteve nënligjore në zbatim të tij. </t>
  </si>
  <si>
    <t xml:space="preserve">Organizimi i tryezave, takimeve midis  Oficerëve të Policimit në Komunitet dhe aktorëve të pushtetit lokal (Punonjësit të Mbrojtjes së Fëmijëve dhe Punonjësit Social) si dhe Oficëve të Sigurisë në Shkolla, rreth tendencave të radikalizimit,  metodave të rekrutimit, radikalizimit si dhe referimit të rasteve problematike në komunitet.
</t>
  </si>
  <si>
    <t>Identifikimi dhe Analizimi i Modeleve të dokumentave Strategjik të vendeve të BE e më gjerë për sigurinë publike.</t>
  </si>
  <si>
    <t>Analizimi i Përkufizimeve për terminologjinë e nevojshme për sigurinë publike me qëllim hartimin e strategjisë së re.</t>
  </si>
  <si>
    <t xml:space="preserve">
Analizimi i legjislacionit dhe organizimit strukturor i policisë që rregullon kompetencat dhe ndërveprimin mes aktorëve nga niveli qendror tek ai vendor në kuadër të garantimit të sigurisë publike bazuar në modele europiane.</t>
  </si>
  <si>
    <t>Trajnimi i oficerëve të Policisë mbi dhunën në familje.</t>
  </si>
  <si>
    <t>17.1.6</t>
  </si>
  <si>
    <t>Agjencia Kombëtare e Zonave të Mbrojtura/ Administratat e zonave te mbrojtura ne qarqe</t>
  </si>
  <si>
    <t xml:space="preserve">KSVP;
Institucionet shtetërore;Shoqëria civile; 
Komuniteti /PSH/Psikolog/MSHMS/MAS
</t>
  </si>
  <si>
    <t>Drejtoria e Teknologjisë së Informacionit/Policia e Shtetit</t>
  </si>
  <si>
    <t>DRAP;DVP/DPPSH</t>
  </si>
  <si>
    <t>MAS;PSH;MSHMS;MB;QPKMR</t>
  </si>
  <si>
    <t>DPSH;MAS;MSHMS;MD</t>
  </si>
  <si>
    <t>DPPSH/DVP;OSHC;MSHMS</t>
  </si>
  <si>
    <t xml:space="preserve">KVSP;MAS;DVP;Bashkitë
</t>
  </si>
  <si>
    <t>DVP/DPPSH;DPAP;NJMF;OSHC</t>
  </si>
  <si>
    <t xml:space="preserve">KVSP;MAS;MSHMS;Bashkitë;OSHC
</t>
  </si>
  <si>
    <t xml:space="preserve">KVSP:MAS:MSHMS:Bashkitë:OSHC
</t>
  </si>
  <si>
    <t>MAS:MSHMS</t>
  </si>
  <si>
    <t>DPPSH:MAS</t>
  </si>
  <si>
    <t>MAS:DVP</t>
  </si>
  <si>
    <t>NJVV;Prefekturat</t>
  </si>
  <si>
    <t>NJVV;PSH;Prefekturat</t>
  </si>
  <si>
    <t>MSHMS;PSH;Prefekturat</t>
  </si>
  <si>
    <t>Ministria e Shëndetësisë dhe Mbrojtes Sociale;PSH;Prefekturat</t>
  </si>
  <si>
    <t>IMT; Prefekturat; NJVV</t>
  </si>
  <si>
    <t>MAS;PSH;MSHMS;Prefekturat</t>
  </si>
  <si>
    <t>Donatorë;MAS</t>
  </si>
  <si>
    <t xml:space="preserve"> MSHMS (ASHDMF); MSHRF; Policia e Shtetit</t>
  </si>
  <si>
    <t xml:space="preserve">PSH;AKB </t>
  </si>
  <si>
    <t xml:space="preserve">IMT;Bashkitë;PSH;MTM;AKB
</t>
  </si>
  <si>
    <t xml:space="preserve">
IKMT;Prefekturat;DVP;NJVV</t>
  </si>
  <si>
    <t>PSH;IKMT</t>
  </si>
  <si>
    <t>IKMT;AKB;Prefekturat;IMT</t>
  </si>
  <si>
    <t>AKB;DVP;Pushteti Vendore;Prefektura</t>
  </si>
  <si>
    <t>MTMT|;PSH</t>
  </si>
  <si>
    <t>Ministrisë së Turizmit dhe Mjedisit;Agjencisë Kombëtare të Mjedisit;Prefekturat</t>
  </si>
  <si>
    <t>DVP;DVKM;Bashkitë;Minsitria e Turizimit dhe Mjedisit</t>
  </si>
  <si>
    <t>PSH;Njësitë e qeverisjes vendore;IMT;Ministria e Turizimit dhe Mjedisit</t>
  </si>
  <si>
    <t xml:space="preserve">Bashkitë;PSH, Emergjencat Civile;MSHMS;DPT/MF;AKU </t>
  </si>
  <si>
    <t>NJVV;MSHMBR</t>
  </si>
  <si>
    <t>DPT;MIE;DVP;DVKM;NJVV/AMVV</t>
  </si>
  <si>
    <t>MTM, MIE, Drejtoria e Përgjithshme Detare, Rojes Bregdetare, AKB, NJVV</t>
  </si>
  <si>
    <t>DPT;ISHSH;Drejtoria e Përgjithshme Detare;NJVV</t>
  </si>
  <si>
    <t>MTM;MSHMS/Policia Bashkiake/Bashkitë/MSHPV;Prefektura</t>
  </si>
  <si>
    <t>IMT;MT; MSHMS;Policia Bashkiake</t>
  </si>
  <si>
    <t>MD;MIE</t>
  </si>
  <si>
    <t xml:space="preserve"> MIE</t>
  </si>
  <si>
    <t>PSH;Donatorë</t>
  </si>
  <si>
    <t xml:space="preserve"> MIE;MB</t>
  </si>
  <si>
    <t>MIE</t>
  </si>
  <si>
    <t>DPPSH;AKSHI;BASHKQEVERISJA</t>
  </si>
  <si>
    <t>ASHMDF; DPPSH; NJVV;MKR; OSHC e specializuara; Donatorët</t>
  </si>
  <si>
    <t>Bashkitë;KVSP</t>
  </si>
  <si>
    <t>ISHP;DPPSH; NJVV;Donatorët</t>
  </si>
  <si>
    <t>Institucionet shtetërore;NJVV</t>
  </si>
  <si>
    <t>MAS;MSHMS</t>
  </si>
  <si>
    <t>Pasqyrimi në media dhe rrjetet sociale e të gjitha aktiviteteve të zhvilluara nga DPPSH, fushata sensibilizuese, si dhe forumet me qytetarët për sigurinë publike, duke i shoqëruar me video, foto e njoftime përkatëse</t>
  </si>
  <si>
    <t>MB</t>
  </si>
  <si>
    <t>DPPSH;
NJVV;MKR;
OSHC e
specializuara;
Donatorë</t>
  </si>
  <si>
    <t xml:space="preserve">Organizimi i aktiviteteve me tematikë siguria rrugore në ditë të ndryshme ndërkombëtare si:  Dita Ndërkombëtare e Arsimit, Java Evropiane e lëvizshmërisë, Dita Evropiane pa makina, etj. </t>
  </si>
  <si>
    <t>Donatorë;DVP</t>
  </si>
  <si>
    <t>NJVV</t>
  </si>
  <si>
    <t>Krijimi i Grupit të Punës për hartimin e VKM-së përmirësimin e kuadrit ligjor për përbërjen, rregullat më të hollësishme të organizimit dhe funksionimit të Këshillave Vendor të Sigurisë Publike (KVSP).</t>
  </si>
  <si>
    <t>NJVV;
Institucionet anëtare të KVSP;  Donatorë;Prefekturat</t>
  </si>
  <si>
    <t>Bashkitë;AMVV</t>
  </si>
  <si>
    <t>MTM;Prefekturat</t>
  </si>
  <si>
    <t>MSHMS;QKEDH</t>
  </si>
  <si>
    <t>ASHMDF;NJVV; MKR;OSHC- të specializuara</t>
  </si>
  <si>
    <t>PMF;OS;PS</t>
  </si>
  <si>
    <t>MB/PSH/AS;
OSHC -të   specializuara; Donatorët</t>
  </si>
  <si>
    <t>AS/PSH;Donatorë</t>
  </si>
  <si>
    <t>AS</t>
  </si>
  <si>
    <t xml:space="preserve">Krijimi,përshtatja e ambjenteve të veçanta të intervistimit të grave/fëmijëve të dhunuara dhe krimeve seksuale në cdo komisariat të vendit sipas standarteve. </t>
  </si>
  <si>
    <t xml:space="preserve"> Promovimi i vlerave pozitive, nëpërmjet dhënies së stimujve moral dhe material për Ndihmës Specialisët/SPZ.</t>
  </si>
  <si>
    <t>Donator;Projekte OJF të ndryshme</t>
  </si>
  <si>
    <t>Prefektuarat;NJVV</t>
  </si>
  <si>
    <t>Ndërgjegjësimi dhe hartimi i broshurave në shkollat 9-vjecare dhe të mesme për zbatimin e rregullave të qarkullimit rrugor, mbi marrjen e lejes së drejtimit dhe për sjellje të kujdesshme gjatë drejtimit të mjetit.</t>
  </si>
  <si>
    <t xml:space="preserve">Ngritja dhe bërja funksionale e KVSP-ve: 
a. Hartimi i Planit të Veprimit për KVSP-ve për fuqizimin e parametrave të sigurisë publike.
b.Organizimi i mbledhjeve të përbashkëta të ETN, GTN dhe KVSP, si dhe sesioneve trajnuese mbi qytetet e sigurta në të gjitha bashkitë ku KVSP janë ngritur.
c.Trajnimi i anëtarëve të KVSP-ve mbi çështje të sigurisë në komunitet, si dhuna në familje, kriminaliteti, siguria në institucione arsimore parauniversitare përdorimi i lëndëve narkotike,menaxhimin e krizave, përfshirë katastrofat natyrore dhe kërcënimet për shëndetin publik.
ç.Ndërgjegjësimi i komunitetit mbi rolin e Këshillave Vendorë të Sigurisë Publike.
</t>
  </si>
  <si>
    <t>Programi Buxhetor "Policia e Shtetit" 03140 Kodi 91604AR</t>
  </si>
  <si>
    <t>Kosto totale ne EUR
(kursi kembimit: 1 EUR = 109ALL)</t>
  </si>
  <si>
    <t>PBA  2024-2026</t>
  </si>
  <si>
    <t>Hendeku financiar 2024-2026</t>
  </si>
  <si>
    <t>PBA 2024-2026</t>
  </si>
  <si>
    <t>2024-2026</t>
  </si>
  <si>
    <t>1 euro 109 Leke</t>
  </si>
  <si>
    <t xml:space="preserve">Zhvillimi i fushatave ndërgjegjësuese për mirëpërdorimin e sinjalistikës rrugore dhe ndërgjegjësimi i drejtuesve për të mos e drejtuar mjetin në gjendje të duhur apo nën efektin e lëndëve narkotike.
</t>
  </si>
  <si>
    <t>Programi Buxhetor "Policia e Shtetit" 03140 91604AR</t>
  </si>
  <si>
    <t xml:space="preserve">Programi Buxhetor "Policia e Shtetit" 03140 </t>
  </si>
  <si>
    <t>Programi Buxhetor "Policia e Shtetit" 03140  91604AG</t>
  </si>
  <si>
    <t>Programi Buxhetor "Policia e Shtetit" 03140  91604AJ</t>
  </si>
  <si>
    <t>Programi Buxhetor "Policia e Shtetit" 03140  91601AA</t>
  </si>
  <si>
    <t>Programi Buxhetor Planifikim dhe Menaxhimi 91601AA</t>
  </si>
  <si>
    <t>Drejtoria për Mbrojtjen nga Zjarri dhe Shpëtimin/Ministria e Brendshme</t>
  </si>
  <si>
    <t>DPSH;MM;AKMC</t>
  </si>
  <si>
    <t>Prefekturat;NJVV</t>
  </si>
  <si>
    <t xml:space="preserve">  Drejtoria e Politikave të Çështjeve Vendore/Ministria e Brendshme</t>
  </si>
  <si>
    <t xml:space="preserve"> Drejtoria e Politikave të Çështjeve Vendore/Ministria e Brendshme</t>
  </si>
  <si>
    <t>Prefekturat;Bashkitë</t>
  </si>
  <si>
    <t>Programi Buxhetor "Arsimi i Ulët" 09120, "Arsimi i Mesëm" 09230.</t>
  </si>
  <si>
    <t>Programi Buxhetor "Prefektura dhe funksionet e deleguara" 01160 91602AA</t>
  </si>
  <si>
    <t xml:space="preserve"> Programi Buxhetor Planifikim dhe Menaxhimi 01110 </t>
  </si>
  <si>
    <t>Programi Buxhetor "Prefekturat dhe funksionet e deleguara të pushtetit vendor" 01160 91602AA</t>
  </si>
  <si>
    <t>Programi Buxhetor "Prefekturat dhe funksionet e deleguara të pushtetit vendor" 01160 
91602AA</t>
  </si>
  <si>
    <t xml:space="preserve">Programi Buxhetor Planifikim dhe Menaxhimi 01110 </t>
  </si>
  <si>
    <t>Programi Buxhetor Planifikim dhe Menaxhimi 01110 91601AA</t>
  </si>
  <si>
    <t>Programi Buxhetor Planifikim dhe Menaxhimi 01110 
91601AA</t>
  </si>
  <si>
    <t>Agjencia Kombëtare e Zonave të Mbrojtura/ Administratat e zonave të mbrojtura në qarqe</t>
  </si>
  <si>
    <t>Programi buxhetor "E-qeverisja" 01140</t>
  </si>
  <si>
    <t>Programi buxhetor "Shërbime të Shëndetit Publik"  07450</t>
  </si>
  <si>
    <t>Programi Buxhetor Planifikim dhe Menaxhimi 01110
 91601AA</t>
  </si>
  <si>
    <t>Programi buxhetor "Planifikim, Menaxhim , Administrim" 01110 Kodi i institucionit  1014130 Kodi i produktit91409AA </t>
  </si>
  <si>
    <t>Programi buxhetor "Shërbimi i provës" 03490 Kodi i Institucionit 1014100 Kodi i produktit 91401AD</t>
  </si>
  <si>
    <t>Programi Buxhetor "Policia e Shtetit" 03140; Programi Prefekturat dhe Funksionet e Deleguara të Pushtetit Vendor 01160; Programi buxhetor 09120 (MAS); Programi buxhetor 01110 (MSHMS)</t>
  </si>
  <si>
    <t>Kryerja e një analize/vlerësimi për krijimin e mekanizmave specifikë/ekipeve vepruese me qëllim adresimin e problematikave dhe shqetësimeve të evidentuara në komunitet me strukturat përgjegjëse si MSHMS, MAS, MB/MD/Oficerë të Sigurisë/Bashkitë, si dhe ngritja e tyre.</t>
  </si>
  <si>
    <t>Kryerja e një analize/vlerësimi për ngritjen e rrjetit koordinues  (ekipe vepruese) me qëllim raportimin ndërmjet MB/PSH/MAS/MD/Bashki/ oficer sigurie dhe realizimin e analizave periodike (3 apo 6 mujore) mbi parandalimin e incidentëve në shkolla dhe zbatimin e paketës së sigurisë në shkolla, si dhe si dhe ngritja e tyre.</t>
  </si>
  <si>
    <t>MSHPV; PSH;MD;Bashkitë</t>
  </si>
  <si>
    <t xml:space="preserve">Miratimi i VKM-së “Për përcaktimin e rregullave të bashkëpunimit midis administratorëve të ndërtesave të banimit, njësive administrative vendore dhe policisë së shtetit”, pas ndryshimeve në ligjin 10112 "Për administrimin e bashkëpronësisë në ndërtesat e banimit". 
</t>
  </si>
  <si>
    <t>Objektivi specifik 1.1: Rritja e Sigurisë në komunitet bazuar në vlerësimin e risqeve dhe proaktivitetin</t>
  </si>
  <si>
    <t>Kosto totale ne EUR
(kursi kembimit: 1 EUR = 109.5 ALL)</t>
  </si>
  <si>
    <r>
      <t>Kosto totale Q</t>
    </r>
    <r>
      <rPr>
        <b/>
        <sz val="10"/>
        <color indexed="10"/>
        <rFont val="Calibri"/>
        <family val="2"/>
      </rPr>
      <t>ë</t>
    </r>
    <r>
      <rPr>
        <b/>
        <sz val="10"/>
        <color indexed="10"/>
        <rFont val="Times New Roman"/>
        <family val="1"/>
      </rPr>
      <t>llimi i Politik</t>
    </r>
    <r>
      <rPr>
        <b/>
        <sz val="10"/>
        <color indexed="10"/>
        <rFont val="Calibri"/>
        <family val="2"/>
      </rPr>
      <t>ë</t>
    </r>
    <r>
      <rPr>
        <b/>
        <sz val="10"/>
        <color indexed="10"/>
        <rFont val="Times New Roman"/>
        <family val="1"/>
      </rPr>
      <t>s I (objektiva specifike 1.1+1.2+1.3)</t>
    </r>
  </si>
  <si>
    <r>
      <t>Kosto totale Q</t>
    </r>
    <r>
      <rPr>
        <b/>
        <sz val="10"/>
        <color indexed="10"/>
        <rFont val="Calibri"/>
        <family val="2"/>
      </rPr>
      <t>ë</t>
    </r>
    <r>
      <rPr>
        <b/>
        <sz val="10"/>
        <color indexed="10"/>
        <rFont val="Times New Roman"/>
        <family val="1"/>
      </rPr>
      <t>llimi i Politik</t>
    </r>
    <r>
      <rPr>
        <b/>
        <sz val="10"/>
        <color indexed="10"/>
        <rFont val="Calibri"/>
        <family val="2"/>
      </rPr>
      <t>ë</t>
    </r>
    <r>
      <rPr>
        <b/>
        <sz val="10"/>
        <color indexed="10"/>
        <rFont val="Times New Roman"/>
        <family val="1"/>
      </rPr>
      <t>s III (objektiva specifike 3.1+3.2)</t>
    </r>
  </si>
  <si>
    <t>8.1.9</t>
  </si>
  <si>
    <t>9.1.6</t>
  </si>
  <si>
    <t>11.1.2</t>
  </si>
  <si>
    <t>12.1.2</t>
  </si>
  <si>
    <t>12.1.3</t>
  </si>
  <si>
    <t>12.1.4</t>
  </si>
  <si>
    <t>12.1.5</t>
  </si>
  <si>
    <t>12.1.6</t>
  </si>
  <si>
    <t>12.1.7</t>
  </si>
  <si>
    <t>12.1.8</t>
  </si>
  <si>
    <t>12.1.9</t>
  </si>
  <si>
    <t>12.1.10</t>
  </si>
  <si>
    <t>13.1.8</t>
  </si>
  <si>
    <t>13.1.9</t>
  </si>
  <si>
    <t>13.1.10</t>
  </si>
  <si>
    <t>14.1.3</t>
  </si>
  <si>
    <r>
      <rPr>
        <b/>
        <sz val="10"/>
        <color rgb="FF000000"/>
        <rFont val="Times New Roman"/>
        <family val="1"/>
      </rPr>
      <t>PLANI I VEPRIMIT 2024-2026</t>
    </r>
    <r>
      <rPr>
        <b/>
        <sz val="9"/>
        <color rgb="FF000000"/>
        <rFont val="Times New Roman"/>
        <family val="1"/>
      </rPr>
      <t xml:space="preserve">
</t>
    </r>
    <r>
      <rPr>
        <b/>
        <sz val="10"/>
        <color rgb="FF000000"/>
        <rFont val="Times New Roman"/>
        <family val="1"/>
      </rPr>
      <t>PËR ZBATIMIN E STRATEGJISË NDËRSEKTORIALE TË SIGURISË NË KOMUNITET 2024-2026</t>
    </r>
    <r>
      <rPr>
        <b/>
        <sz val="9"/>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</si>
</sst>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57" x14ac:knownFonts="1">
    <font>
      <sz val="11"/>
      <color theme="1"/>
      <name val="Calibri"/>
      <family val="2"/>
      <scheme val="minor"/>
    </font>
    <font>
      <b/>
      <sz val="11"/>
      <color indexed="8"/>
      <name val="Calibri"/>
      <family val="2"/>
    </font>
    <font>
      <sz val="10"/>
      <name val="Arial"/>
      <family val="2"/>
      <charset val="238"/>
    </font>
    <font>
      <sz val="10"/>
      <name val="Arial"/>
      <family val="2"/>
    </font>
    <font>
      <sz val="9"/>
      <color indexed="8"/>
      <name val="Times New Roman"/>
      <family val="1"/>
    </font>
    <font>
      <b/>
      <sz val="9"/>
      <color indexed="8"/>
      <name val="Times New Roman"/>
      <family val="1"/>
    </font>
    <font>
      <b/>
      <sz val="9"/>
      <name val="Times New Roman"/>
      <family val="1"/>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sz val="11"/>
      <color theme="1"/>
      <name val="Times New Roman"/>
      <family val="1"/>
    </font>
    <font>
      <b/>
      <sz val="12"/>
      <color rgb="FF000000"/>
      <name val="Times New Roman"/>
      <family val="1"/>
    </font>
    <font>
      <b/>
      <sz val="9"/>
      <color theme="1"/>
      <name val="Times New Roman"/>
      <family val="1"/>
    </font>
    <font>
      <sz val="9"/>
      <color theme="1"/>
      <name val="Times New Roman"/>
      <family val="1"/>
    </font>
    <font>
      <b/>
      <sz val="9"/>
      <color rgb="FF00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sz val="16"/>
      <color rgb="FFFF0000"/>
      <name val="Calibri"/>
      <family val="2"/>
      <scheme val="minor"/>
    </font>
    <font>
      <b/>
      <i/>
      <sz val="9"/>
      <color rgb="FFFF0000"/>
      <name val="Arial"/>
      <family val="2"/>
    </font>
    <font>
      <b/>
      <sz val="9"/>
      <color rgb="FFFFFFFF"/>
      <name val="Arial"/>
      <family val="2"/>
    </font>
    <font>
      <b/>
      <sz val="11"/>
      <color theme="1"/>
      <name val="Arial"/>
      <family val="2"/>
    </font>
    <font>
      <b/>
      <sz val="10"/>
      <color rgb="FF000000"/>
      <name val="Times New Roman"/>
      <family val="1"/>
    </font>
    <font>
      <b/>
      <sz val="10"/>
      <color theme="1"/>
      <name val="Times New Roman"/>
      <family val="1"/>
    </font>
    <font>
      <b/>
      <sz val="10"/>
      <name val="Times New Roman"/>
      <family val="1"/>
    </font>
    <font>
      <b/>
      <sz val="18"/>
      <color rgb="FF0070C0"/>
      <name val="Calibri"/>
      <family val="2"/>
      <scheme val="minor"/>
    </font>
    <font>
      <sz val="18"/>
      <color theme="1"/>
      <name val="Calibri"/>
      <family val="2"/>
      <scheme val="minor"/>
    </font>
    <font>
      <b/>
      <sz val="12"/>
      <color theme="1"/>
      <name val="Calibri"/>
      <family val="2"/>
      <scheme val="minor"/>
    </font>
    <font>
      <sz val="14"/>
      <color theme="1"/>
      <name val="Calibri"/>
      <family val="2"/>
      <scheme val="minor"/>
    </font>
    <font>
      <b/>
      <sz val="12"/>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2"/>
      <color theme="0"/>
      <name val="Calibri"/>
      <family val="2"/>
      <scheme val="minor"/>
    </font>
    <font>
      <b/>
      <sz val="12"/>
      <color theme="1"/>
      <name val="Times New Roman"/>
      <family val="1"/>
    </font>
    <font>
      <sz val="11"/>
      <color rgb="FF000000"/>
      <name val="Times New Roman"/>
      <family val="1"/>
    </font>
    <font>
      <b/>
      <sz val="11"/>
      <color indexed="8"/>
      <name val="Calibri Light"/>
      <family val="2"/>
      <scheme val="major"/>
    </font>
    <font>
      <sz val="11"/>
      <color rgb="FF000000"/>
      <name val="Calibri"/>
      <family val="2"/>
      <scheme val="minor"/>
    </font>
    <font>
      <sz val="11"/>
      <name val="Calibri"/>
      <family val="2"/>
      <scheme val="minor"/>
    </font>
    <font>
      <sz val="11"/>
      <color rgb="FF000000"/>
      <name val="Calibri "/>
    </font>
    <font>
      <sz val="11"/>
      <color theme="1"/>
      <name val="Calibri "/>
    </font>
    <font>
      <sz val="10"/>
      <color rgb="FF000000"/>
      <name val="Times New Roman"/>
      <family val="1"/>
    </font>
    <font>
      <sz val="10"/>
      <name val="Times New Roman"/>
      <family val="1"/>
    </font>
    <font>
      <sz val="10"/>
      <color theme="1"/>
      <name val="Times New Roman"/>
      <family val="1"/>
    </font>
    <font>
      <b/>
      <sz val="10"/>
      <color indexed="8"/>
      <name val="Times New Roman"/>
      <family val="1"/>
    </font>
    <font>
      <sz val="10"/>
      <color indexed="8"/>
      <name val="Times New Roman"/>
      <family val="1"/>
    </font>
    <font>
      <sz val="10"/>
      <color rgb="FFFF0000"/>
      <name val="Times New Roman"/>
      <family val="1"/>
    </font>
    <font>
      <b/>
      <sz val="10"/>
      <color rgb="FFFF0000"/>
      <name val="Times New Roman"/>
      <family val="1"/>
    </font>
    <font>
      <b/>
      <sz val="10"/>
      <color rgb="FF242424"/>
      <name val="Times New Roman"/>
      <family val="1"/>
    </font>
    <font>
      <b/>
      <sz val="10"/>
      <color indexed="10"/>
      <name val="Times New Roman"/>
      <family val="1"/>
    </font>
    <font>
      <b/>
      <sz val="10"/>
      <color indexed="10"/>
      <name val="Calibri"/>
      <family val="2"/>
    </font>
    <font>
      <b/>
      <sz val="10"/>
      <color theme="1"/>
      <name val="Calibri"/>
      <family val="2"/>
      <scheme val="minor"/>
    </font>
  </fonts>
  <fills count="17">
    <fill>
      <patternFill patternType="none"/>
    </fill>
    <fill>
      <patternFill patternType="gray125"/>
    </fill>
    <fill>
      <patternFill patternType="solid">
        <fgColor theme="5"/>
      </patternFill>
    </fill>
    <fill>
      <patternFill patternType="solid">
        <fgColor theme="9"/>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9" fillId="2" borderId="0" applyNumberFormat="0" applyBorder="0" applyAlignment="0" applyProtection="0"/>
    <xf numFmtId="0" fontId="9" fillId="3" borderId="0" applyNumberFormat="0" applyBorder="0" applyAlignment="0" applyProtection="0"/>
    <xf numFmtId="43" fontId="8" fillId="0" borderId="0" applyFont="0" applyFill="0" applyBorder="0" applyAlignment="0" applyProtection="0"/>
    <xf numFmtId="43" fontId="3" fillId="0" borderId="0" applyFont="0" applyFill="0" applyBorder="0" applyAlignment="0" applyProtection="0"/>
    <xf numFmtId="164" fontId="8" fillId="0" borderId="0" applyFont="0" applyFill="0" applyBorder="0" applyAlignment="0" applyProtection="0"/>
    <xf numFmtId="0" fontId="3" fillId="0" borderId="0"/>
    <xf numFmtId="0" fontId="3" fillId="0" borderId="0"/>
    <xf numFmtId="0" fontId="3" fillId="0" borderId="0"/>
    <xf numFmtId="0" fontId="8" fillId="0" borderId="0"/>
    <xf numFmtId="0" fontId="10" fillId="0" borderId="0"/>
    <xf numFmtId="0" fontId="2" fillId="0" borderId="0"/>
    <xf numFmtId="0" fontId="3" fillId="0" borderId="0"/>
    <xf numFmtId="9" fontId="8" fillId="0" borderId="0" applyFont="0" applyFill="0" applyBorder="0" applyAlignment="0" applyProtection="0"/>
    <xf numFmtId="0" fontId="3" fillId="0" borderId="0"/>
  </cellStyleXfs>
  <cellXfs count="341">
    <xf numFmtId="0" fontId="0" fillId="0" borderId="0" xfId="0"/>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0" xfId="0" applyFont="1"/>
    <xf numFmtId="0" fontId="16" fillId="0" borderId="0" xfId="0" applyFont="1"/>
    <xf numFmtId="0" fontId="16" fillId="0" borderId="0" xfId="0" applyFont="1" applyAlignment="1">
      <alignment horizontal="center"/>
    </xf>
    <xf numFmtId="3" fontId="14" fillId="0" borderId="8" xfId="0" applyNumberFormat="1" applyFont="1" applyBorder="1" applyAlignment="1">
      <alignment horizontal="center" vertical="center" wrapText="1"/>
    </xf>
    <xf numFmtId="3" fontId="14" fillId="0" borderId="9"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0" borderId="1" xfId="3" applyNumberFormat="1" applyFont="1" applyFill="1" applyBorder="1" applyAlignment="1">
      <alignment horizontal="center" vertical="center" wrapText="1"/>
    </xf>
    <xf numFmtId="3" fontId="14" fillId="0" borderId="1" xfId="3" applyNumberFormat="1" applyFont="1" applyFill="1" applyBorder="1" applyAlignment="1">
      <alignment horizontal="center" vertical="center" wrapText="1"/>
    </xf>
    <xf numFmtId="3" fontId="16" fillId="0" borderId="0" xfId="0" applyNumberFormat="1" applyFont="1" applyAlignment="1">
      <alignment horizontal="center" vertical="center"/>
    </xf>
    <xf numFmtId="3" fontId="14" fillId="0" borderId="14" xfId="0" applyNumberFormat="1" applyFont="1" applyBorder="1" applyAlignment="1">
      <alignment horizontal="center" vertical="center" wrapText="1"/>
    </xf>
    <xf numFmtId="3" fontId="0" fillId="0" borderId="0" xfId="0" applyNumberFormat="1" applyAlignment="1">
      <alignment horizontal="center" vertical="center"/>
    </xf>
    <xf numFmtId="3" fontId="11" fillId="0" borderId="11" xfId="3" applyNumberFormat="1" applyFont="1" applyBorder="1" applyAlignment="1">
      <alignment horizontal="center" vertical="center"/>
    </xf>
    <xf numFmtId="3" fontId="8" fillId="0" borderId="0" xfId="13" applyNumberFormat="1" applyFont="1" applyAlignment="1">
      <alignment horizontal="center" vertical="center"/>
    </xf>
    <xf numFmtId="0" fontId="23" fillId="6" borderId="2" xfId="0" applyFont="1" applyFill="1" applyBorder="1" applyAlignment="1">
      <alignment vertical="center"/>
    </xf>
    <xf numFmtId="3" fontId="23" fillId="6" borderId="2" xfId="3" applyNumberFormat="1" applyFont="1" applyFill="1" applyBorder="1" applyAlignment="1">
      <alignment horizontal="center" vertical="center"/>
    </xf>
    <xf numFmtId="0" fontId="15" fillId="0" borderId="0" xfId="0" applyFont="1" applyAlignment="1">
      <alignment horizontal="center"/>
    </xf>
    <xf numFmtId="3" fontId="0" fillId="0" borderId="0" xfId="0" applyNumberFormat="1"/>
    <xf numFmtId="0" fontId="16" fillId="4" borderId="0" xfId="0" applyFont="1" applyFill="1"/>
    <xf numFmtId="0" fontId="15" fillId="4" borderId="0" xfId="0" applyFont="1" applyFill="1"/>
    <xf numFmtId="0" fontId="0" fillId="8" borderId="31" xfId="0" applyFill="1" applyBorder="1" applyAlignment="1">
      <alignment vertical="center" wrapText="1"/>
    </xf>
    <xf numFmtId="0" fontId="25" fillId="8" borderId="31" xfId="0" applyFont="1" applyFill="1" applyBorder="1" applyAlignment="1">
      <alignment horizontal="center" vertical="center" wrapText="1"/>
    </xf>
    <xf numFmtId="0" fontId="20" fillId="9" borderId="32" xfId="0" applyFont="1" applyFill="1" applyBorder="1" applyAlignment="1">
      <alignment horizontal="center" vertical="center" wrapText="1"/>
    </xf>
    <xf numFmtId="3" fontId="20" fillId="9" borderId="32" xfId="0" applyNumberFormat="1" applyFont="1" applyFill="1" applyBorder="1" applyAlignment="1">
      <alignment horizontal="center" vertical="center" wrapText="1"/>
    </xf>
    <xf numFmtId="0" fontId="19" fillId="0" borderId="32" xfId="0" applyFont="1" applyBorder="1" applyAlignment="1">
      <alignment horizontal="center" vertical="center" wrapText="1"/>
    </xf>
    <xf numFmtId="3" fontId="19" fillId="0" borderId="32" xfId="0" applyNumberFormat="1" applyFont="1" applyBorder="1" applyAlignment="1">
      <alignment horizontal="center" vertical="center" wrapText="1"/>
    </xf>
    <xf numFmtId="0" fontId="22" fillId="9" borderId="32" xfId="0" applyFont="1" applyFill="1" applyBorder="1" applyAlignment="1">
      <alignment horizontal="center" vertical="center" wrapText="1"/>
    </xf>
    <xf numFmtId="3" fontId="21" fillId="9" borderId="32" xfId="0" applyNumberFormat="1" applyFont="1" applyFill="1" applyBorder="1" applyAlignment="1">
      <alignment horizontal="center" vertical="center" wrapText="1"/>
    </xf>
    <xf numFmtId="3" fontId="18" fillId="0" borderId="0" xfId="0" applyNumberFormat="1" applyFont="1" applyAlignment="1">
      <alignment horizontal="center" vertical="center"/>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4" xfId="0" applyFont="1" applyFill="1" applyBorder="1" applyAlignment="1">
      <alignment horizontal="center" vertical="center" wrapText="1"/>
    </xf>
    <xf numFmtId="0" fontId="0" fillId="8" borderId="33" xfId="0" applyFill="1" applyBorder="1" applyAlignment="1">
      <alignment vertical="center" wrapText="1"/>
    </xf>
    <xf numFmtId="0" fontId="24" fillId="0" borderId="37" xfId="0" applyFont="1" applyBorder="1" applyAlignment="1">
      <alignment horizontal="right" vertical="center" wrapText="1"/>
    </xf>
    <xf numFmtId="3" fontId="17" fillId="0" borderId="9" xfId="0" applyNumberFormat="1" applyFont="1" applyBorder="1" applyAlignment="1">
      <alignment horizontal="center" vertical="center" wrapText="1"/>
    </xf>
    <xf numFmtId="0" fontId="25" fillId="8" borderId="28" xfId="0" applyFont="1" applyFill="1" applyBorder="1" applyAlignment="1">
      <alignment horizontal="center" vertical="center" wrapText="1"/>
    </xf>
    <xf numFmtId="0" fontId="1" fillId="0" borderId="4" xfId="0" applyFont="1" applyBorder="1" applyAlignment="1">
      <alignment wrapText="1"/>
    </xf>
    <xf numFmtId="3" fontId="17" fillId="0" borderId="8"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10" xfId="0" applyNumberFormat="1" applyFont="1" applyBorder="1" applyAlignment="1">
      <alignment horizontal="center" vertical="center" wrapText="1"/>
    </xf>
    <xf numFmtId="0" fontId="16" fillId="0" borderId="0" xfId="0" applyFont="1" applyAlignment="1">
      <alignment vertical="center"/>
    </xf>
    <xf numFmtId="0" fontId="16" fillId="0" borderId="14" xfId="0" applyFont="1" applyBorder="1"/>
    <xf numFmtId="0" fontId="16" fillId="12" borderId="0" xfId="0" applyFont="1" applyFill="1"/>
    <xf numFmtId="0" fontId="10" fillId="0" borderId="2" xfId="0" applyFont="1" applyBorder="1"/>
    <xf numFmtId="3" fontId="34" fillId="0" borderId="2" xfId="0" applyNumberFormat="1" applyFont="1" applyBorder="1" applyAlignment="1">
      <alignment horizontal="center" vertical="center"/>
    </xf>
    <xf numFmtId="3" fontId="10" fillId="0" borderId="0" xfId="0" applyNumberFormat="1" applyFont="1"/>
    <xf numFmtId="0" fontId="10" fillId="0" borderId="0" xfId="0" applyFont="1"/>
    <xf numFmtId="0" fontId="23" fillId="6" borderId="5" xfId="0" applyFont="1" applyFill="1" applyBorder="1" applyAlignment="1">
      <alignment vertical="center" wrapText="1"/>
    </xf>
    <xf numFmtId="3" fontId="36" fillId="0" borderId="0" xfId="0" applyNumberFormat="1" applyFont="1"/>
    <xf numFmtId="0" fontId="36" fillId="0" borderId="0" xfId="0" applyFont="1"/>
    <xf numFmtId="3" fontId="34" fillId="5" borderId="7" xfId="0" applyNumberFormat="1" applyFont="1" applyFill="1" applyBorder="1" applyAlignment="1">
      <alignment horizontal="center" vertical="center"/>
    </xf>
    <xf numFmtId="3" fontId="32" fillId="0" borderId="11" xfId="3" applyNumberFormat="1" applyFont="1" applyBorder="1" applyAlignment="1">
      <alignment horizontal="center" vertical="center"/>
    </xf>
    <xf numFmtId="0" fontId="36" fillId="0" borderId="5" xfId="0" applyFont="1" applyBorder="1" applyAlignment="1">
      <alignment wrapText="1"/>
    </xf>
    <xf numFmtId="0" fontId="36" fillId="0" borderId="2" xfId="0" applyFont="1" applyBorder="1"/>
    <xf numFmtId="3" fontId="23" fillId="0" borderId="2" xfId="0" applyNumberFormat="1" applyFont="1" applyBorder="1" applyAlignment="1">
      <alignment horizontal="center" vertical="center"/>
    </xf>
    <xf numFmtId="0" fontId="33" fillId="0" borderId="2" xfId="0" applyFont="1" applyBorder="1"/>
    <xf numFmtId="3" fontId="38" fillId="3" borderId="1" xfId="2" applyNumberFormat="1" applyFont="1" applyBorder="1" applyAlignment="1">
      <alignment horizontal="center" vertical="center"/>
    </xf>
    <xf numFmtId="3" fontId="38" fillId="2" borderId="1" xfId="1" applyNumberFormat="1" applyFont="1" applyBorder="1" applyAlignment="1">
      <alignment horizontal="center" vertical="center"/>
    </xf>
    <xf numFmtId="3" fontId="0" fillId="12" borderId="0" xfId="0" applyNumberFormat="1" applyFill="1" applyAlignment="1">
      <alignment horizontal="center" vertical="center"/>
    </xf>
    <xf numFmtId="3" fontId="38" fillId="14" borderId="1" xfId="2" applyNumberFormat="1" applyFont="1" applyFill="1" applyBorder="1" applyAlignment="1">
      <alignment horizontal="center" vertical="center"/>
    </xf>
    <xf numFmtId="3" fontId="21" fillId="9" borderId="35" xfId="0" applyNumberFormat="1" applyFont="1" applyFill="1" applyBorder="1" applyAlignment="1">
      <alignment horizontal="center" vertical="center" wrapText="1"/>
    </xf>
    <xf numFmtId="165" fontId="39" fillId="0" borderId="0" xfId="3" applyNumberFormat="1" applyFont="1" applyAlignment="1">
      <alignment horizontal="center"/>
    </xf>
    <xf numFmtId="165" fontId="16" fillId="0" borderId="0" xfId="3" applyNumberFormat="1" applyFont="1" applyFill="1" applyAlignment="1">
      <alignment horizontal="center"/>
    </xf>
    <xf numFmtId="0" fontId="15" fillId="12" borderId="0" xfId="0" applyFont="1" applyFill="1"/>
    <xf numFmtId="165" fontId="0" fillId="0" borderId="0" xfId="3" applyNumberFormat="1" applyFont="1"/>
    <xf numFmtId="0" fontId="40" fillId="0" borderId="1" xfId="0" applyFont="1" applyBorder="1" applyAlignment="1">
      <alignment horizontal="center" vertical="center" wrapText="1"/>
    </xf>
    <xf numFmtId="0" fontId="1" fillId="0" borderId="4" xfId="0" applyFont="1" applyBorder="1" applyAlignment="1">
      <alignment vertical="top" wrapText="1"/>
    </xf>
    <xf numFmtId="0" fontId="41" fillId="0" borderId="4" xfId="0" applyFont="1" applyBorder="1" applyAlignment="1">
      <alignment vertical="top" wrapText="1"/>
    </xf>
    <xf numFmtId="0" fontId="42" fillId="12" borderId="1" xfId="0" applyFont="1" applyFill="1" applyBorder="1" applyAlignment="1">
      <alignment horizontal="center" vertical="top" wrapText="1"/>
    </xf>
    <xf numFmtId="0" fontId="43" fillId="12"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12" borderId="1" xfId="0" applyFont="1" applyFill="1" applyBorder="1" applyAlignment="1">
      <alignment horizontal="center" vertical="center" wrapText="1"/>
    </xf>
    <xf numFmtId="0" fontId="44" fillId="12" borderId="1" xfId="0" applyFont="1" applyFill="1" applyBorder="1" applyAlignment="1">
      <alignment horizontal="center" vertical="center" wrapText="1"/>
    </xf>
    <xf numFmtId="0" fontId="0" fillId="12" borderId="1" xfId="0" applyFill="1" applyBorder="1" applyAlignment="1">
      <alignment horizontal="center" wrapText="1"/>
    </xf>
    <xf numFmtId="0" fontId="45" fillId="12" borderId="1" xfId="0" applyFont="1" applyFill="1" applyBorder="1" applyAlignment="1">
      <alignment horizontal="center" vertical="center" wrapText="1"/>
    </xf>
    <xf numFmtId="0" fontId="17" fillId="0" borderId="46" xfId="0" applyFont="1" applyBorder="1" applyAlignment="1">
      <alignment horizontal="center" vertical="center" wrapText="1"/>
    </xf>
    <xf numFmtId="0" fontId="16" fillId="0" borderId="30" xfId="0" applyFont="1" applyBorder="1"/>
    <xf numFmtId="0" fontId="16" fillId="0" borderId="6" xfId="0" applyFont="1" applyBorder="1"/>
    <xf numFmtId="0" fontId="16" fillId="12" borderId="6" xfId="0" applyFont="1" applyFill="1" applyBorder="1"/>
    <xf numFmtId="0" fontId="21" fillId="9" borderId="34" xfId="0" applyFont="1" applyFill="1" applyBorder="1" applyAlignment="1">
      <alignment horizontal="left" vertical="center" wrapText="1"/>
    </xf>
    <xf numFmtId="0" fontId="22" fillId="0" borderId="36" xfId="0" applyFont="1" applyBorder="1" applyAlignment="1">
      <alignment horizontal="left" vertical="center" wrapText="1"/>
    </xf>
    <xf numFmtId="0" fontId="27" fillId="0" borderId="1" xfId="0" applyFont="1" applyBorder="1" applyAlignment="1">
      <alignment horizontal="center" vertical="center" wrapText="1"/>
    </xf>
    <xf numFmtId="0" fontId="48" fillId="0" borderId="1" xfId="0" applyFont="1" applyBorder="1" applyAlignment="1">
      <alignment horizontal="left" vertical="center" wrapText="1"/>
    </xf>
    <xf numFmtId="0" fontId="47" fillId="0" borderId="1" xfId="0" applyFont="1" applyBorder="1" applyAlignment="1">
      <alignment horizontal="left" vertical="center" wrapText="1"/>
    </xf>
    <xf numFmtId="0" fontId="28"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horizontal="center" vertical="center"/>
    </xf>
    <xf numFmtId="0" fontId="46"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wrapText="1"/>
    </xf>
    <xf numFmtId="3" fontId="46" fillId="0" borderId="1" xfId="3" applyNumberFormat="1" applyFont="1" applyFill="1" applyBorder="1" applyAlignment="1">
      <alignment horizontal="center" vertical="center" wrapText="1"/>
    </xf>
    <xf numFmtId="0" fontId="28" fillId="0" borderId="1" xfId="0" applyFont="1" applyBorder="1" applyAlignment="1">
      <alignment vertical="center" wrapText="1"/>
    </xf>
    <xf numFmtId="0" fontId="48" fillId="0" borderId="1" xfId="0" applyFont="1" applyBorder="1" applyAlignment="1">
      <alignment vertical="center" wrapText="1"/>
    </xf>
    <xf numFmtId="0" fontId="28" fillId="0" borderId="1" xfId="0" applyFont="1" applyBorder="1" applyAlignment="1">
      <alignment horizontal="center" vertical="top"/>
    </xf>
    <xf numFmtId="0" fontId="27" fillId="12" borderId="1" xfId="0" applyFont="1" applyFill="1" applyBorder="1" applyAlignment="1">
      <alignment horizontal="center" vertical="center" wrapText="1"/>
    </xf>
    <xf numFmtId="0" fontId="46" fillId="12" borderId="1" xfId="0" applyFont="1" applyFill="1" applyBorder="1" applyAlignment="1">
      <alignment horizontal="left" vertical="center" wrapText="1"/>
    </xf>
    <xf numFmtId="0" fontId="47" fillId="12" borderId="1"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47" fillId="12" borderId="1" xfId="0" applyFont="1" applyFill="1" applyBorder="1" applyAlignment="1">
      <alignment vertical="center" wrapText="1"/>
    </xf>
    <xf numFmtId="0" fontId="48" fillId="12" borderId="1" xfId="0" applyFont="1" applyFill="1" applyBorder="1" applyAlignment="1">
      <alignment horizontal="left" vertical="center" wrapText="1"/>
    </xf>
    <xf numFmtId="0" fontId="48"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47" fillId="12" borderId="1" xfId="0" applyFont="1" applyFill="1" applyBorder="1" applyAlignment="1">
      <alignment horizontal="center" vertical="center"/>
    </xf>
    <xf numFmtId="0" fontId="28" fillId="12" borderId="1" xfId="0" applyFont="1" applyFill="1" applyBorder="1" applyAlignment="1">
      <alignment vertical="center" wrapText="1"/>
    </xf>
    <xf numFmtId="0" fontId="48" fillId="12" borderId="1" xfId="0" applyFont="1" applyFill="1" applyBorder="1" applyAlignment="1">
      <alignment vertical="center" wrapText="1"/>
    </xf>
    <xf numFmtId="0" fontId="47" fillId="12" borderId="3" xfId="0" applyFont="1" applyFill="1" applyBorder="1" applyAlignment="1">
      <alignment horizontal="center" vertical="center" wrapText="1"/>
    </xf>
    <xf numFmtId="0" fontId="48" fillId="12" borderId="1" xfId="0" applyFont="1" applyFill="1" applyBorder="1" applyAlignment="1">
      <alignment horizontal="justify" vertical="center"/>
    </xf>
    <xf numFmtId="0" fontId="48" fillId="12" borderId="1" xfId="0" applyFont="1" applyFill="1" applyBorder="1" applyAlignment="1">
      <alignment horizontal="left" vertical="top" wrapText="1"/>
    </xf>
    <xf numFmtId="0" fontId="46" fillId="12" borderId="1" xfId="0" applyFont="1" applyFill="1" applyBorder="1" applyAlignment="1">
      <alignment horizontal="center" wrapText="1"/>
    </xf>
    <xf numFmtId="0" fontId="48" fillId="12" borderId="1" xfId="0" applyFont="1" applyFill="1" applyBorder="1" applyAlignment="1">
      <alignment vertical="top" wrapText="1"/>
    </xf>
    <xf numFmtId="0" fontId="46" fillId="12" borderId="0" xfId="0" applyFont="1" applyFill="1" applyAlignment="1">
      <alignment horizontal="center" vertical="center" wrapText="1"/>
    </xf>
    <xf numFmtId="0" fontId="48" fillId="12" borderId="1" xfId="0" applyFont="1" applyFill="1" applyBorder="1" applyAlignment="1">
      <alignment horizontal="center" vertical="center"/>
    </xf>
    <xf numFmtId="0" fontId="46" fillId="12" borderId="1" xfId="0" applyFont="1" applyFill="1" applyBorder="1" applyAlignment="1">
      <alignment vertical="center" wrapText="1"/>
    </xf>
    <xf numFmtId="3" fontId="46" fillId="12" borderId="1" xfId="3" applyNumberFormat="1" applyFont="1" applyFill="1" applyBorder="1" applyAlignment="1">
      <alignment horizontal="center" vertical="center" wrapText="1"/>
    </xf>
    <xf numFmtId="0" fontId="46" fillId="12" borderId="1" xfId="0" applyFont="1" applyFill="1" applyBorder="1" applyAlignment="1">
      <alignment wrapText="1"/>
    </xf>
    <xf numFmtId="0" fontId="29" fillId="12" borderId="1" xfId="0" applyFont="1" applyFill="1" applyBorder="1" applyAlignment="1">
      <alignment vertical="center" wrapText="1"/>
    </xf>
    <xf numFmtId="0" fontId="47" fillId="12" borderId="0" xfId="0" applyFont="1" applyFill="1" applyAlignment="1">
      <alignment horizontal="left" wrapText="1"/>
    </xf>
    <xf numFmtId="0" fontId="48" fillId="12" borderId="1" xfId="0" applyFont="1" applyFill="1" applyBorder="1" applyAlignment="1">
      <alignment horizontal="center" wrapText="1"/>
    </xf>
    <xf numFmtId="0" fontId="48" fillId="12" borderId="0" xfId="0" applyFont="1" applyFill="1" applyAlignment="1">
      <alignment horizontal="center" vertical="center" wrapText="1"/>
    </xf>
    <xf numFmtId="0" fontId="27" fillId="12" borderId="1" xfId="0" applyFont="1" applyFill="1" applyBorder="1" applyAlignment="1">
      <alignment horizontal="left" vertical="center" wrapText="1"/>
    </xf>
    <xf numFmtId="0" fontId="47" fillId="12" borderId="1" xfId="0" applyFont="1" applyFill="1" applyBorder="1" applyAlignment="1">
      <alignment horizontal="center" vertical="top" wrapText="1"/>
    </xf>
    <xf numFmtId="0" fontId="29" fillId="12" borderId="1" xfId="0" applyFont="1" applyFill="1" applyBorder="1" applyAlignment="1">
      <alignment horizontal="left" wrapText="1"/>
    </xf>
    <xf numFmtId="0" fontId="29" fillId="12" borderId="12" xfId="0" applyFont="1" applyFill="1" applyBorder="1" applyAlignment="1">
      <alignment vertical="center" wrapText="1"/>
    </xf>
    <xf numFmtId="0" fontId="48" fillId="12" borderId="1" xfId="0" applyFont="1" applyFill="1" applyBorder="1" applyAlignment="1">
      <alignment horizontal="center"/>
    </xf>
    <xf numFmtId="0" fontId="46" fillId="12" borderId="0" xfId="0" applyFont="1" applyFill="1" applyAlignment="1">
      <alignment vertical="center" wrapText="1"/>
    </xf>
    <xf numFmtId="0" fontId="29" fillId="12" borderId="1" xfId="0" applyFont="1" applyFill="1" applyBorder="1" applyAlignment="1">
      <alignment horizontal="left" vertical="center" wrapText="1"/>
    </xf>
    <xf numFmtId="0" fontId="28" fillId="12" borderId="1" xfId="0" applyFont="1" applyFill="1" applyBorder="1" applyAlignment="1">
      <alignment horizontal="center" vertical="center"/>
    </xf>
    <xf numFmtId="0" fontId="28" fillId="12" borderId="1" xfId="0" applyFont="1" applyFill="1" applyBorder="1" applyAlignment="1">
      <alignment horizontal="left" vertical="center" wrapText="1"/>
    </xf>
    <xf numFmtId="0" fontId="28" fillId="12" borderId="1" xfId="0" applyFont="1" applyFill="1" applyBorder="1" applyAlignment="1">
      <alignment horizontal="center"/>
    </xf>
    <xf numFmtId="0" fontId="29" fillId="12" borderId="1" xfId="0" applyFont="1" applyFill="1" applyBorder="1" applyAlignment="1">
      <alignment horizontal="right" vertical="center" wrapText="1"/>
    </xf>
    <xf numFmtId="0" fontId="49" fillId="12" borderId="1" xfId="0" applyFont="1" applyFill="1" applyBorder="1" applyAlignment="1">
      <alignment horizontal="left" vertical="center" wrapText="1"/>
    </xf>
    <xf numFmtId="0" fontId="50" fillId="12" borderId="1" xfId="0" applyFont="1" applyFill="1" applyBorder="1" applyAlignment="1">
      <alignment horizontal="left" vertical="center" wrapText="1"/>
    </xf>
    <xf numFmtId="0" fontId="47" fillId="12" borderId="0" xfId="0" applyFont="1" applyFill="1" applyAlignment="1">
      <alignment horizontal="center" vertical="center" wrapText="1"/>
    </xf>
    <xf numFmtId="0" fontId="28" fillId="12" borderId="1" xfId="0" applyFont="1" applyFill="1" applyBorder="1" applyAlignment="1">
      <alignment wrapText="1"/>
    </xf>
    <xf numFmtId="0" fontId="29" fillId="16" borderId="1" xfId="0" applyFont="1" applyFill="1" applyBorder="1" applyAlignment="1">
      <alignment horizontal="center" vertical="center"/>
    </xf>
    <xf numFmtId="0" fontId="46" fillId="0" borderId="1" xfId="0" applyFont="1" applyBorder="1" applyAlignment="1">
      <alignment horizontal="left" vertical="center" wrapText="1"/>
    </xf>
    <xf numFmtId="3" fontId="36" fillId="0" borderId="0" xfId="0" applyNumberFormat="1" applyFont="1" applyAlignment="1">
      <alignment horizontal="center" vertical="center"/>
    </xf>
    <xf numFmtId="0" fontId="29" fillId="12" borderId="1" xfId="0" applyFont="1" applyFill="1" applyBorder="1" applyAlignment="1">
      <alignment horizontal="center" vertical="center" wrapText="1"/>
    </xf>
    <xf numFmtId="0" fontId="29" fillId="12" borderId="11" xfId="0" applyFont="1" applyFill="1" applyBorder="1" applyAlignment="1">
      <alignment horizontal="center" vertical="center" wrapText="1"/>
    </xf>
    <xf numFmtId="0" fontId="46" fillId="0" borderId="21" xfId="0" applyFont="1" applyBorder="1" applyAlignment="1">
      <alignment horizontal="left" vertical="center" wrapText="1"/>
    </xf>
    <xf numFmtId="3" fontId="17" fillId="0" borderId="28"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30" xfId="0" applyNumberFormat="1" applyFont="1" applyBorder="1" applyAlignment="1">
      <alignment horizontal="center" vertical="center" wrapText="1"/>
    </xf>
    <xf numFmtId="3" fontId="17" fillId="0" borderId="29" xfId="0" applyNumberFormat="1" applyFont="1" applyBorder="1" applyAlignment="1">
      <alignment horizontal="center" vertical="center" wrapText="1"/>
    </xf>
    <xf numFmtId="3" fontId="17" fillId="0" borderId="8" xfId="0" applyNumberFormat="1" applyFont="1" applyBorder="1" applyAlignment="1">
      <alignment horizontal="center" vertical="center" wrapText="1"/>
    </xf>
    <xf numFmtId="3" fontId="17" fillId="0" borderId="10"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6" fillId="10" borderId="17"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19" xfId="0" applyFont="1" applyFill="1" applyBorder="1" applyAlignment="1">
      <alignment horizontal="center" vertical="center" wrapText="1"/>
    </xf>
    <xf numFmtId="3" fontId="17" fillId="0" borderId="15" xfId="0" applyNumberFormat="1" applyFont="1" applyBorder="1" applyAlignment="1">
      <alignment horizontal="center" vertical="center" wrapText="1"/>
    </xf>
    <xf numFmtId="3" fontId="17" fillId="0" borderId="9"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7" xfId="0" applyFont="1" applyBorder="1" applyAlignment="1">
      <alignment horizontal="center" vertical="center" wrapText="1"/>
    </xf>
    <xf numFmtId="3" fontId="17" fillId="0" borderId="18" xfId="0" applyNumberFormat="1" applyFont="1" applyBorder="1" applyAlignment="1">
      <alignment horizontal="center" vertical="center" wrapText="1"/>
    </xf>
    <xf numFmtId="3" fontId="17" fillId="0" borderId="19" xfId="0" applyNumberFormat="1" applyFont="1" applyBorder="1" applyAlignment="1">
      <alignment horizontal="center" vertical="center" wrapText="1"/>
    </xf>
    <xf numFmtId="3" fontId="17" fillId="0" borderId="17"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26" xfId="0" applyFont="1" applyBorder="1" applyAlignment="1">
      <alignment horizontal="center" vertical="center" wrapText="1"/>
    </xf>
    <xf numFmtId="0" fontId="6" fillId="13" borderId="17"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28" fillId="0" borderId="18" xfId="0" applyFont="1" applyBorder="1" applyAlignment="1">
      <alignment horizontal="center" wrapText="1"/>
    </xf>
    <xf numFmtId="0" fontId="28" fillId="0" borderId="19" xfId="0" applyFont="1" applyBorder="1" applyAlignment="1">
      <alignment horizontal="center" wrapText="1"/>
    </xf>
    <xf numFmtId="0" fontId="29" fillId="12" borderId="1" xfId="0" applyFont="1" applyFill="1" applyBorder="1" applyAlignment="1">
      <alignment horizontal="center" wrapText="1"/>
    </xf>
    <xf numFmtId="0" fontId="49" fillId="0" borderId="21" xfId="0" applyFont="1" applyBorder="1" applyAlignment="1">
      <alignment horizontal="left" vertical="center" wrapText="1"/>
    </xf>
    <xf numFmtId="0" fontId="46" fillId="0" borderId="21"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9" fillId="12" borderId="1" xfId="0" applyFont="1" applyFill="1" applyBorder="1" applyAlignment="1">
      <alignment horizontal="center" vertical="center" wrapText="1"/>
    </xf>
    <xf numFmtId="0" fontId="29" fillId="12" borderId="11" xfId="0" applyFont="1" applyFill="1" applyBorder="1" applyAlignment="1">
      <alignment horizontal="center" vertical="center" wrapText="1"/>
    </xf>
    <xf numFmtId="0" fontId="29" fillId="12" borderId="12" xfId="0" applyFont="1" applyFill="1" applyBorder="1" applyAlignment="1">
      <alignment horizontal="center" vertical="center" wrapText="1"/>
    </xf>
    <xf numFmtId="0" fontId="29" fillId="12" borderId="48" xfId="0" applyFont="1" applyFill="1" applyBorder="1" applyAlignment="1">
      <alignment horizontal="center" vertical="center" wrapText="1"/>
    </xf>
    <xf numFmtId="0" fontId="29" fillId="12" borderId="49" xfId="0" applyFont="1" applyFill="1" applyBorder="1" applyAlignment="1">
      <alignment horizontal="center" vertical="center" wrapText="1"/>
    </xf>
    <xf numFmtId="3" fontId="14" fillId="0" borderId="15" xfId="0" applyNumberFormat="1" applyFont="1" applyBorder="1" applyAlignment="1">
      <alignment horizontal="center" vertical="center" wrapText="1"/>
    </xf>
    <xf numFmtId="3" fontId="14" fillId="0" borderId="13" xfId="0" applyNumberFormat="1" applyFont="1" applyBorder="1" applyAlignment="1">
      <alignment horizontal="center" vertical="center" wrapText="1"/>
    </xf>
    <xf numFmtId="3" fontId="14" fillId="0" borderId="45" xfId="0" applyNumberFormat="1" applyFont="1" applyBorder="1" applyAlignment="1">
      <alignment horizontal="center" vertical="center" wrapText="1"/>
    </xf>
    <xf numFmtId="0" fontId="30" fillId="0" borderId="17" xfId="0" applyFont="1" applyBorder="1" applyAlignment="1">
      <alignment wrapText="1"/>
    </xf>
    <xf numFmtId="0" fontId="31" fillId="0" borderId="18" xfId="0" applyFont="1" applyBorder="1" applyAlignment="1">
      <alignment wrapText="1"/>
    </xf>
    <xf numFmtId="0" fontId="31" fillId="0" borderId="19" xfId="0" applyFont="1" applyBorder="1" applyAlignment="1">
      <alignment wrapText="1"/>
    </xf>
    <xf numFmtId="3" fontId="14" fillId="0" borderId="30"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6" xfId="0" applyNumberFormat="1" applyBorder="1" applyAlignment="1">
      <alignment horizontal="center" vertical="center" wrapText="1"/>
    </xf>
    <xf numFmtId="3" fontId="0" fillId="0" borderId="10" xfId="0" applyNumberFormat="1" applyBorder="1" applyAlignment="1">
      <alignment horizontal="center" vertical="center" wrapText="1"/>
    </xf>
    <xf numFmtId="3" fontId="14" fillId="0" borderId="17" xfId="0" applyNumberFormat="1" applyFont="1" applyBorder="1" applyAlignment="1">
      <alignment horizontal="center" vertical="center" wrapText="1"/>
    </xf>
    <xf numFmtId="3" fontId="0" fillId="0" borderId="18" xfId="0" applyNumberFormat="1" applyBorder="1" applyAlignment="1">
      <alignment horizontal="center" vertical="center" wrapText="1"/>
    </xf>
    <xf numFmtId="3" fontId="0" fillId="0" borderId="19" xfId="0" applyNumberFormat="1" applyBorder="1" applyAlignment="1">
      <alignment horizontal="center" vertical="center" wrapText="1"/>
    </xf>
    <xf numFmtId="3" fontId="0" fillId="0" borderId="18" xfId="0" applyNumberFormat="1" applyBorder="1" applyAlignment="1">
      <alignment horizontal="center" vertical="center"/>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3" fontId="14" fillId="0" borderId="19" xfId="0" applyNumberFormat="1" applyFont="1" applyBorder="1" applyAlignment="1">
      <alignment horizontal="center" vertical="center" wrapText="1"/>
    </xf>
    <xf numFmtId="3" fontId="14" fillId="0" borderId="18" xfId="0" applyNumberFormat="1" applyFont="1" applyBorder="1" applyAlignment="1">
      <alignment horizontal="center" vertical="center" wrapText="1"/>
    </xf>
    <xf numFmtId="3" fontId="14" fillId="0" borderId="24" xfId="0" applyNumberFormat="1" applyFont="1" applyBorder="1" applyAlignment="1">
      <alignment horizontal="center" vertical="center" wrapText="1"/>
    </xf>
    <xf numFmtId="3" fontId="14" fillId="0" borderId="25" xfId="0" applyNumberFormat="1" applyFont="1" applyBorder="1" applyAlignment="1">
      <alignment horizontal="center" vertical="center" wrapText="1"/>
    </xf>
    <xf numFmtId="3" fontId="14" fillId="0" borderId="9" xfId="0" applyNumberFormat="1" applyFont="1" applyBorder="1" applyAlignment="1">
      <alignment horizontal="center" vertical="center" wrapText="1"/>
    </xf>
    <xf numFmtId="0" fontId="14" fillId="0" borderId="45" xfId="0" applyFont="1" applyBorder="1" applyAlignment="1">
      <alignment horizontal="center" vertical="center" wrapText="1"/>
    </xf>
    <xf numFmtId="0" fontId="14" fillId="0" borderId="15" xfId="0" applyFont="1" applyBorder="1" applyAlignment="1">
      <alignment horizontal="left" vertical="center" wrapText="1"/>
    </xf>
    <xf numFmtId="0" fontId="14" fillId="0" borderId="13" xfId="0" applyFont="1" applyBorder="1" applyAlignment="1">
      <alignment horizontal="left" vertical="center" wrapText="1"/>
    </xf>
    <xf numFmtId="0" fontId="14" fillId="0" borderId="45" xfId="0" applyFont="1" applyBorder="1" applyAlignment="1">
      <alignment horizontal="left" vertical="center" wrapText="1"/>
    </xf>
    <xf numFmtId="0" fontId="21" fillId="9" borderId="40" xfId="0" applyFont="1" applyFill="1" applyBorder="1" applyAlignment="1">
      <alignment horizontal="justify" vertical="center" wrapText="1"/>
    </xf>
    <xf numFmtId="0" fontId="21" fillId="9" borderId="34" xfId="0" applyFont="1" applyFill="1" applyBorder="1" applyAlignment="1">
      <alignment horizontal="justify"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3" fontId="22" fillId="0" borderId="43" xfId="0" applyNumberFormat="1" applyFont="1" applyBorder="1" applyAlignment="1">
      <alignment horizontal="center" vertical="center" wrapText="1"/>
    </xf>
    <xf numFmtId="3" fontId="22" fillId="0" borderId="44" xfId="0" applyNumberFormat="1" applyFont="1" applyBorder="1" applyAlignment="1">
      <alignment horizontal="center" vertical="center" wrapText="1"/>
    </xf>
    <xf numFmtId="3" fontId="21" fillId="9" borderId="38" xfId="0" applyNumberFormat="1" applyFont="1" applyFill="1" applyBorder="1" applyAlignment="1">
      <alignment horizontal="center" vertical="center" wrapText="1"/>
    </xf>
    <xf numFmtId="3" fontId="21" fillId="9" borderId="39" xfId="0" applyNumberFormat="1" applyFont="1" applyFill="1" applyBorder="1" applyAlignment="1">
      <alignment horizontal="center" vertical="center" wrapText="1"/>
    </xf>
    <xf numFmtId="0" fontId="26" fillId="0" borderId="0" xfId="0" applyFont="1" applyAlignment="1">
      <alignment horizontal="center" vertical="center"/>
    </xf>
    <xf numFmtId="0" fontId="25" fillId="8" borderId="30" xfId="0" applyFont="1" applyFill="1" applyBorder="1" applyAlignment="1">
      <alignment horizontal="justify" vertical="center" wrapText="1"/>
    </xf>
    <xf numFmtId="0" fontId="25" fillId="8" borderId="6" xfId="0" applyFont="1" applyFill="1" applyBorder="1" applyAlignment="1">
      <alignment horizontal="justify" vertical="center" wrapText="1"/>
    </xf>
    <xf numFmtId="0" fontId="25" fillId="8" borderId="41" xfId="0" applyFont="1" applyFill="1" applyBorder="1" applyAlignment="1">
      <alignment horizontal="justify"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31" xfId="0" applyFont="1" applyFill="1" applyBorder="1" applyAlignment="1">
      <alignment horizontal="center" vertical="center" wrapText="1"/>
    </xf>
    <xf numFmtId="0" fontId="21" fillId="9" borderId="42" xfId="0" applyFont="1" applyFill="1" applyBorder="1" applyAlignment="1">
      <alignment horizontal="justify"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51" fillId="12" borderId="1" xfId="0" applyFont="1" applyFill="1" applyBorder="1" applyAlignment="1">
      <alignment horizontal="left" vertical="center" wrapText="1"/>
    </xf>
    <xf numFmtId="3" fontId="46" fillId="0" borderId="1" xfId="0" applyNumberFormat="1" applyFont="1" applyBorder="1" applyAlignment="1">
      <alignment horizontal="center" vertical="center" wrapText="1"/>
    </xf>
    <xf numFmtId="3" fontId="46" fillId="0" borderId="1" xfId="3" applyNumberFormat="1" applyFont="1" applyBorder="1" applyAlignment="1">
      <alignment horizontal="center" vertical="center" wrapText="1"/>
    </xf>
    <xf numFmtId="3" fontId="46" fillId="0" borderId="11" xfId="3" applyNumberFormat="1" applyFont="1" applyBorder="1" applyAlignment="1">
      <alignment horizontal="center" vertical="center" wrapText="1"/>
    </xf>
    <xf numFmtId="0" fontId="47" fillId="0" borderId="46" xfId="14" applyFont="1" applyFill="1" applyBorder="1" applyAlignment="1">
      <alignment horizontal="center" vertical="center" wrapText="1"/>
    </xf>
    <xf numFmtId="0" fontId="51" fillId="0" borderId="1" xfId="0" applyFont="1" applyBorder="1" applyAlignment="1">
      <alignment horizontal="left" vertical="center" wrapText="1"/>
    </xf>
    <xf numFmtId="3" fontId="46" fillId="0" borderId="11" xfId="3" applyNumberFormat="1" applyFont="1" applyFill="1" applyBorder="1" applyAlignment="1">
      <alignment horizontal="center" vertical="center" wrapText="1"/>
    </xf>
    <xf numFmtId="0" fontId="46" fillId="0" borderId="1" xfId="0" applyFont="1" applyFill="1" applyBorder="1" applyAlignment="1">
      <alignment horizontal="center" wrapText="1"/>
    </xf>
    <xf numFmtId="0" fontId="27" fillId="0" borderId="20" xfId="0" applyFont="1" applyBorder="1" applyAlignment="1">
      <alignment horizontal="center" vertical="center" wrapText="1"/>
    </xf>
    <xf numFmtId="0" fontId="46" fillId="0" borderId="21" xfId="0" applyFont="1" applyBorder="1" applyAlignment="1">
      <alignment horizontal="center" vertical="center" wrapText="1"/>
    </xf>
    <xf numFmtId="3" fontId="46" fillId="0" borderId="21" xfId="0" applyNumberFormat="1" applyFont="1" applyBorder="1" applyAlignment="1">
      <alignment horizontal="center" vertical="center" wrapText="1"/>
    </xf>
    <xf numFmtId="3" fontId="46" fillId="0" borderId="21" xfId="3" applyNumberFormat="1" applyFont="1" applyBorder="1" applyAlignment="1">
      <alignment horizontal="center" vertical="center" wrapText="1"/>
    </xf>
    <xf numFmtId="3" fontId="46" fillId="0" borderId="22" xfId="3" applyNumberFormat="1" applyFont="1" applyBorder="1" applyAlignment="1">
      <alignment horizontal="center" vertical="center" wrapText="1"/>
    </xf>
    <xf numFmtId="0" fontId="27" fillId="0" borderId="4" xfId="0" applyFont="1" applyBorder="1" applyAlignment="1">
      <alignment horizontal="center" vertical="center" wrapText="1"/>
    </xf>
    <xf numFmtId="0" fontId="27" fillId="7" borderId="4" xfId="0" applyFont="1" applyFill="1" applyBorder="1" applyAlignment="1">
      <alignment horizontal="center" vertical="center" wrapText="1"/>
    </xf>
    <xf numFmtId="0" fontId="52" fillId="7" borderId="1" xfId="0" applyFont="1" applyFill="1" applyBorder="1" applyAlignment="1">
      <alignment horizontal="left" vertical="center" wrapText="1"/>
    </xf>
    <xf numFmtId="0" fontId="27" fillId="7" borderId="1" xfId="0" applyFont="1" applyFill="1" applyBorder="1" applyAlignment="1">
      <alignment horizontal="left" vertical="center" wrapText="1"/>
    </xf>
    <xf numFmtId="3" fontId="52" fillId="7" borderId="1" xfId="3" applyNumberFormat="1" applyFont="1" applyFill="1" applyBorder="1" applyAlignment="1">
      <alignment horizontal="center" vertical="center" wrapText="1"/>
    </xf>
    <xf numFmtId="3" fontId="52" fillId="7" borderId="11" xfId="3" applyNumberFormat="1" applyFont="1" applyFill="1" applyBorder="1" applyAlignment="1">
      <alignment horizontal="center" vertical="center" wrapText="1"/>
    </xf>
    <xf numFmtId="0" fontId="49" fillId="0" borderId="1" xfId="0" applyFont="1" applyBorder="1" applyAlignment="1">
      <alignment horizontal="left" vertical="center" wrapText="1"/>
    </xf>
    <xf numFmtId="3" fontId="48" fillId="0" borderId="1" xfId="0" applyNumberFormat="1" applyFont="1" applyBorder="1" applyAlignment="1">
      <alignment horizontal="center" vertical="center"/>
    </xf>
    <xf numFmtId="0" fontId="47" fillId="0" borderId="3" xfId="0" applyFont="1" applyBorder="1" applyAlignment="1">
      <alignment horizontal="left" vertical="center" wrapText="1"/>
    </xf>
    <xf numFmtId="0" fontId="46" fillId="0" borderId="1" xfId="0" applyFont="1" applyFill="1" applyBorder="1" applyAlignment="1">
      <alignment horizontal="left" vertical="center" wrapText="1"/>
    </xf>
    <xf numFmtId="3" fontId="46" fillId="0" borderId="1" xfId="0" applyNumberFormat="1" applyFont="1" applyFill="1" applyBorder="1" applyAlignment="1">
      <alignment horizontal="center" vertical="center" wrapText="1"/>
    </xf>
    <xf numFmtId="3" fontId="46" fillId="12" borderId="1" xfId="0" applyNumberFormat="1" applyFont="1" applyFill="1" applyBorder="1" applyAlignment="1">
      <alignment horizontal="center" vertical="center" wrapText="1"/>
    </xf>
    <xf numFmtId="0" fontId="47" fillId="12" borderId="46" xfId="14" applyFont="1" applyFill="1" applyBorder="1" applyAlignment="1">
      <alignment horizontal="center" vertical="center" wrapText="1"/>
    </xf>
    <xf numFmtId="49" fontId="50" fillId="0" borderId="1" xfId="14" applyNumberFormat="1" applyFont="1" applyFill="1" applyBorder="1" applyAlignment="1" applyProtection="1">
      <alignment horizontal="center" vertical="center" wrapText="1"/>
      <protection locked="0"/>
    </xf>
    <xf numFmtId="49" fontId="50" fillId="0" borderId="1" xfId="14" applyNumberFormat="1" applyFont="1" applyFill="1" applyBorder="1" applyAlignment="1" applyProtection="1">
      <alignment horizontal="center" wrapText="1"/>
      <protection locked="0"/>
    </xf>
    <xf numFmtId="0" fontId="47" fillId="0" borderId="3" xfId="0" applyFont="1" applyBorder="1" applyAlignment="1">
      <alignment horizontal="center" vertical="center" wrapText="1"/>
    </xf>
    <xf numFmtId="3" fontId="46" fillId="12" borderId="11" xfId="3" applyNumberFormat="1" applyFont="1" applyFill="1" applyBorder="1" applyAlignment="1">
      <alignment horizontal="center" vertical="center" wrapText="1"/>
    </xf>
    <xf numFmtId="0" fontId="47" fillId="12" borderId="3" xfId="0" applyFont="1" applyFill="1" applyBorder="1" applyAlignment="1">
      <alignment horizontal="left" vertical="center" wrapText="1"/>
    </xf>
    <xf numFmtId="0" fontId="52" fillId="12" borderId="1" xfId="0" applyFont="1" applyFill="1" applyBorder="1" applyAlignment="1">
      <alignment horizontal="left" vertical="center" wrapText="1"/>
    </xf>
    <xf numFmtId="3" fontId="52" fillId="12" borderId="1" xfId="3" applyNumberFormat="1" applyFont="1" applyFill="1" applyBorder="1" applyAlignment="1">
      <alignment horizontal="center" vertical="center" wrapText="1"/>
    </xf>
    <xf numFmtId="0" fontId="49" fillId="12" borderId="1" xfId="0" applyFont="1" applyFill="1" applyBorder="1" applyAlignment="1">
      <alignment vertical="center" wrapText="1"/>
    </xf>
    <xf numFmtId="0" fontId="53" fillId="12" borderId="0" xfId="0" applyFont="1" applyFill="1" applyAlignment="1">
      <alignment wrapText="1"/>
    </xf>
    <xf numFmtId="3" fontId="46" fillId="12" borderId="1" xfId="0" applyNumberFormat="1" applyFont="1" applyFill="1" applyBorder="1" applyAlignment="1">
      <alignment horizontal="center" vertical="center"/>
    </xf>
    <xf numFmtId="0" fontId="47" fillId="0" borderId="1" xfId="0" applyFont="1" applyFill="1" applyBorder="1" applyAlignment="1">
      <alignment horizontal="left" vertical="center" wrapText="1"/>
    </xf>
    <xf numFmtId="0" fontId="47" fillId="12" borderId="1" xfId="0" applyFont="1" applyFill="1" applyBorder="1" applyAlignment="1">
      <alignment horizontal="justify" vertical="center"/>
    </xf>
    <xf numFmtId="0" fontId="46" fillId="12" borderId="1" xfId="0" applyFont="1" applyFill="1" applyBorder="1" applyAlignment="1">
      <alignment horizontal="left" vertical="center"/>
    </xf>
    <xf numFmtId="165" fontId="52" fillId="12" borderId="1" xfId="3" applyNumberFormat="1" applyFont="1" applyFill="1" applyBorder="1" applyAlignment="1">
      <alignment horizontal="center" vertical="center" wrapText="1"/>
    </xf>
    <xf numFmtId="0" fontId="54" fillId="16" borderId="1" xfId="0" applyFont="1" applyFill="1" applyBorder="1" applyAlignment="1">
      <alignment horizontal="left" vertical="center" wrapText="1"/>
    </xf>
    <xf numFmtId="0" fontId="56" fillId="16" borderId="1" xfId="0" applyFont="1" applyFill="1" applyBorder="1" applyAlignment="1">
      <alignment horizontal="left" vertical="center" wrapText="1"/>
    </xf>
    <xf numFmtId="0" fontId="56" fillId="16" borderId="1" xfId="0" applyFont="1" applyFill="1" applyBorder="1" applyAlignment="1">
      <alignment horizontal="left" vertical="center" wrapText="1"/>
    </xf>
    <xf numFmtId="0" fontId="27" fillId="16" borderId="1" xfId="0" applyFont="1" applyFill="1" applyBorder="1" applyAlignment="1">
      <alignment horizontal="center" vertical="center" wrapText="1"/>
    </xf>
    <xf numFmtId="3" fontId="52" fillId="16" borderId="1" xfId="3"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0" fontId="54" fillId="12" borderId="1" xfId="0" applyFont="1" applyFill="1" applyBorder="1" applyAlignment="1">
      <alignment horizontal="center" vertical="center" wrapText="1"/>
    </xf>
    <xf numFmtId="0" fontId="29" fillId="12" borderId="48" xfId="0" applyFont="1" applyFill="1" applyBorder="1" applyAlignment="1">
      <alignment horizontal="center" vertical="center"/>
    </xf>
    <xf numFmtId="0" fontId="29" fillId="12" borderId="49" xfId="0" applyFont="1" applyFill="1" applyBorder="1" applyAlignment="1">
      <alignment horizontal="center" vertical="center"/>
    </xf>
    <xf numFmtId="0" fontId="54" fillId="12" borderId="1" xfId="0" applyFont="1" applyFill="1" applyBorder="1" applyAlignment="1">
      <alignment horizontal="center" vertical="center"/>
    </xf>
    <xf numFmtId="0" fontId="27" fillId="12" borderId="1" xfId="0" applyFont="1" applyFill="1" applyBorder="1" applyAlignment="1">
      <alignment horizontal="center" vertical="center" wrapText="1"/>
    </xf>
    <xf numFmtId="0" fontId="27" fillId="12" borderId="1" xfId="0" applyFont="1" applyFill="1" applyBorder="1" applyAlignment="1">
      <alignment horizontal="left" vertical="center" wrapText="1"/>
    </xf>
    <xf numFmtId="3" fontId="27" fillId="12" borderId="30" xfId="0" applyNumberFormat="1" applyFont="1" applyFill="1" applyBorder="1" applyAlignment="1">
      <alignment horizontal="center" vertical="center" wrapText="1"/>
    </xf>
    <xf numFmtId="3" fontId="27" fillId="12" borderId="28" xfId="0" applyNumberFormat="1" applyFont="1" applyFill="1" applyBorder="1" applyAlignment="1">
      <alignment horizontal="center" vertical="center" wrapText="1"/>
    </xf>
    <xf numFmtId="3" fontId="27" fillId="12" borderId="29" xfId="0" applyNumberFormat="1" applyFont="1" applyFill="1" applyBorder="1" applyAlignment="1">
      <alignment horizontal="center" vertical="center" wrapText="1"/>
    </xf>
    <xf numFmtId="3" fontId="27" fillId="12" borderId="16" xfId="0" applyNumberFormat="1" applyFont="1" applyFill="1" applyBorder="1" applyAlignment="1">
      <alignment horizontal="center" vertical="center" wrapText="1"/>
    </xf>
    <xf numFmtId="3" fontId="27" fillId="12" borderId="10" xfId="0" applyNumberFormat="1" applyFont="1" applyFill="1" applyBorder="1" applyAlignment="1">
      <alignment horizontal="center" vertical="center" wrapText="1"/>
    </xf>
    <xf numFmtId="3" fontId="27" fillId="12" borderId="15" xfId="0" applyNumberFormat="1" applyFont="1" applyFill="1" applyBorder="1" applyAlignment="1">
      <alignment horizontal="center" vertical="center" wrapText="1"/>
    </xf>
    <xf numFmtId="0" fontId="27" fillId="12" borderId="1" xfId="0" applyFont="1" applyFill="1" applyBorder="1" applyAlignment="1">
      <alignment horizontal="center" wrapText="1"/>
    </xf>
    <xf numFmtId="0" fontId="49" fillId="12" borderId="1" xfId="0" applyFont="1" applyFill="1" applyBorder="1" applyAlignment="1">
      <alignment horizontal="center" vertical="center" wrapText="1"/>
    </xf>
    <xf numFmtId="3" fontId="27" fillId="12" borderId="8" xfId="0" applyNumberFormat="1" applyFont="1" applyFill="1" applyBorder="1" applyAlignment="1">
      <alignment horizontal="center" vertical="center" wrapText="1"/>
    </xf>
    <xf numFmtId="3" fontId="27" fillId="12" borderId="18" xfId="0" applyNumberFormat="1" applyFont="1" applyFill="1" applyBorder="1" applyAlignment="1">
      <alignment horizontal="center" vertical="center" wrapText="1"/>
    </xf>
    <xf numFmtId="3" fontId="27" fillId="12" borderId="19" xfId="0" applyNumberFormat="1" applyFont="1" applyFill="1" applyBorder="1" applyAlignment="1">
      <alignment horizontal="center" vertical="center" wrapText="1"/>
    </xf>
    <xf numFmtId="3" fontId="27" fillId="12" borderId="17" xfId="0" applyNumberFormat="1" applyFont="1" applyFill="1" applyBorder="1" applyAlignment="1">
      <alignment horizontal="center" vertical="center" wrapText="1"/>
    </xf>
    <xf numFmtId="3" fontId="27" fillId="12" borderId="9" xfId="0" applyNumberFormat="1" applyFont="1" applyFill="1" applyBorder="1" applyAlignment="1">
      <alignment horizontal="center" vertical="center" wrapText="1"/>
    </xf>
    <xf numFmtId="0" fontId="50" fillId="12" borderId="1" xfId="0" applyFont="1" applyFill="1" applyBorder="1" applyAlignment="1">
      <alignment horizontal="center" vertical="center" wrapText="1"/>
    </xf>
    <xf numFmtId="3" fontId="27" fillId="12" borderId="1" xfId="0" applyNumberFormat="1" applyFont="1" applyFill="1" applyBorder="1" applyAlignment="1">
      <alignment horizontal="center" vertical="center" wrapText="1"/>
    </xf>
    <xf numFmtId="3" fontId="27" fillId="12" borderId="11" xfId="0" applyNumberFormat="1" applyFont="1" applyFill="1" applyBorder="1" applyAlignment="1">
      <alignment horizontal="center" vertical="center" wrapText="1"/>
    </xf>
    <xf numFmtId="0" fontId="48" fillId="12" borderId="1" xfId="0" applyFont="1" applyFill="1" applyBorder="1" applyAlignment="1">
      <alignment horizontal="left"/>
    </xf>
    <xf numFmtId="3" fontId="46" fillId="12" borderId="1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48" fillId="0" borderId="1" xfId="0" quotePrefix="1" applyFont="1" applyFill="1" applyBorder="1" applyAlignment="1">
      <alignment horizontal="center" vertical="center" wrapText="1"/>
    </xf>
    <xf numFmtId="3" fontId="52" fillId="12" borderId="1" xfId="0" applyNumberFormat="1" applyFont="1" applyFill="1" applyBorder="1" applyAlignment="1">
      <alignment horizontal="center" vertical="center" wrapText="1"/>
    </xf>
    <xf numFmtId="0" fontId="28" fillId="12" borderId="4" xfId="0" applyFont="1" applyFill="1" applyBorder="1" applyAlignment="1">
      <alignment horizontal="center" vertical="center"/>
    </xf>
    <xf numFmtId="0" fontId="49" fillId="12" borderId="1" xfId="0" applyFont="1" applyFill="1" applyBorder="1" applyAlignment="1">
      <alignment horizontal="left" vertical="center" wrapText="1"/>
    </xf>
    <xf numFmtId="3" fontId="48" fillId="12" borderId="1" xfId="0" applyNumberFormat="1" applyFont="1" applyFill="1" applyBorder="1" applyAlignment="1">
      <alignment horizontal="center" vertical="center"/>
    </xf>
    <xf numFmtId="0" fontId="48" fillId="12" borderId="0" xfId="0" applyFont="1" applyFill="1"/>
    <xf numFmtId="3" fontId="48" fillId="12" borderId="1" xfId="3" applyNumberFormat="1" applyFont="1" applyFill="1" applyBorder="1" applyAlignment="1">
      <alignment horizontal="center" vertical="center"/>
    </xf>
    <xf numFmtId="0" fontId="47" fillId="0" borderId="46" xfId="14" applyFont="1" applyFill="1" applyBorder="1" applyAlignment="1">
      <alignment horizontal="center" vertical="center"/>
    </xf>
    <xf numFmtId="165" fontId="46" fillId="12" borderId="1" xfId="3" applyNumberFormat="1" applyFont="1" applyFill="1" applyBorder="1" applyAlignment="1">
      <alignment horizontal="center" vertical="center" wrapText="1"/>
    </xf>
    <xf numFmtId="0" fontId="27" fillId="12" borderId="4" xfId="0" applyFont="1" applyFill="1" applyBorder="1" applyAlignment="1">
      <alignment horizontal="center" vertical="center" wrapText="1"/>
    </xf>
    <xf numFmtId="3" fontId="28" fillId="12" borderId="1" xfId="0" applyNumberFormat="1" applyFont="1" applyFill="1" applyBorder="1" applyAlignment="1">
      <alignment horizontal="center" vertical="center"/>
    </xf>
    <xf numFmtId="0" fontId="28" fillId="12" borderId="1" xfId="0" applyFont="1" applyFill="1" applyBorder="1" applyAlignment="1">
      <alignment horizontal="left" vertical="center"/>
    </xf>
    <xf numFmtId="3" fontId="29" fillId="12" borderId="1" xfId="3" applyNumberFormat="1" applyFont="1" applyFill="1" applyBorder="1" applyAlignment="1">
      <alignment horizontal="center" vertical="center"/>
    </xf>
    <xf numFmtId="0" fontId="27" fillId="16" borderId="4" xfId="0" applyFont="1" applyFill="1" applyBorder="1" applyAlignment="1">
      <alignment horizontal="center" vertical="center" wrapText="1"/>
    </xf>
    <xf numFmtId="0" fontId="52" fillId="16" borderId="1" xfId="0" applyFont="1" applyFill="1" applyBorder="1" applyAlignment="1">
      <alignment horizontal="left" vertical="center" wrapText="1"/>
    </xf>
    <xf numFmtId="0" fontId="27" fillId="0" borderId="4" xfId="0" applyFont="1" applyBorder="1" applyAlignment="1">
      <alignment horizontal="center" vertical="center" wrapText="1"/>
    </xf>
    <xf numFmtId="0" fontId="48" fillId="12" borderId="1" xfId="0" applyFont="1" applyFill="1" applyBorder="1"/>
    <xf numFmtId="0" fontId="52" fillId="11" borderId="4" xfId="0" applyFont="1" applyFill="1" applyBorder="1" applyAlignment="1">
      <alignment horizontal="left" vertical="center" wrapText="1"/>
    </xf>
    <xf numFmtId="3" fontId="48" fillId="12" borderId="11" xfId="0" applyNumberFormat="1" applyFont="1" applyFill="1" applyBorder="1" applyAlignment="1">
      <alignment horizontal="center" vertical="center"/>
    </xf>
    <xf numFmtId="0" fontId="48" fillId="12" borderId="1" xfId="0" applyFont="1" applyFill="1" applyBorder="1" applyAlignment="1">
      <alignment vertical="center"/>
    </xf>
    <xf numFmtId="0" fontId="27" fillId="16" borderId="1" xfId="0" applyFont="1" applyFill="1" applyBorder="1" applyAlignment="1">
      <alignment horizontal="left" vertical="center" wrapText="1"/>
    </xf>
    <xf numFmtId="0" fontId="27" fillId="15" borderId="4" xfId="0" applyFont="1" applyFill="1" applyBorder="1" applyAlignment="1">
      <alignment horizontal="center" vertical="center" wrapText="1"/>
    </xf>
    <xf numFmtId="0" fontId="54" fillId="15" borderId="1" xfId="0" applyFont="1" applyFill="1" applyBorder="1" applyAlignment="1">
      <alignment horizontal="left" vertical="center" wrapText="1"/>
    </xf>
    <xf numFmtId="0" fontId="27" fillId="15" borderId="1" xfId="0" applyFont="1" applyFill="1" applyBorder="1" applyAlignment="1">
      <alignment horizontal="left" vertical="center" wrapText="1"/>
    </xf>
    <xf numFmtId="0" fontId="27" fillId="15" borderId="1" xfId="0" applyFont="1" applyFill="1" applyBorder="1" applyAlignment="1">
      <alignment horizontal="center" vertical="center" wrapText="1"/>
    </xf>
    <xf numFmtId="3" fontId="52" fillId="15" borderId="1" xfId="3" applyNumberFormat="1" applyFont="1" applyFill="1" applyBorder="1" applyAlignment="1">
      <alignment horizontal="center" vertical="center" wrapText="1"/>
    </xf>
    <xf numFmtId="0" fontId="52" fillId="15" borderId="5" xfId="0" applyFont="1" applyFill="1" applyBorder="1" applyAlignment="1">
      <alignment horizontal="center"/>
    </xf>
    <xf numFmtId="0" fontId="52" fillId="15" borderId="2" xfId="0" applyFont="1" applyFill="1" applyBorder="1" applyAlignment="1">
      <alignment wrapText="1"/>
    </xf>
    <xf numFmtId="0" fontId="51" fillId="15" borderId="2" xfId="0" applyFont="1" applyFill="1" applyBorder="1" applyAlignment="1">
      <alignment wrapText="1"/>
    </xf>
    <xf numFmtId="0" fontId="51" fillId="15" borderId="2" xfId="0" applyFont="1" applyFill="1" applyBorder="1" applyAlignment="1">
      <alignment horizontal="center" wrapText="1"/>
    </xf>
    <xf numFmtId="0" fontId="51" fillId="15" borderId="2" xfId="0" applyFont="1" applyFill="1" applyBorder="1" applyAlignment="1">
      <alignment horizontal="center"/>
    </xf>
    <xf numFmtId="3" fontId="52" fillId="15" borderId="2" xfId="3" applyNumberFormat="1" applyFont="1" applyFill="1" applyBorder="1" applyAlignment="1">
      <alignment horizontal="center" vertical="center" wrapText="1"/>
    </xf>
    <xf numFmtId="0" fontId="28" fillId="0" borderId="17" xfId="0" applyFont="1" applyBorder="1" applyAlignment="1">
      <alignment horizontal="center" wrapText="1"/>
    </xf>
    <xf numFmtId="0" fontId="16" fillId="0" borderId="0" xfId="0" applyFont="1" applyBorder="1"/>
  </cellXfs>
  <cellStyles count="15">
    <cellStyle name="Accent2" xfId="1" builtinId="33"/>
    <cellStyle name="Accent6" xfId="2" builtinId="49"/>
    <cellStyle name="Comma" xfId="3" builtinId="3"/>
    <cellStyle name="Comma 3" xfId="4" xr:uid="{00000000-0005-0000-0000-000003000000}"/>
    <cellStyle name="Comma 5" xfId="5" xr:uid="{00000000-0005-0000-0000-000004000000}"/>
    <cellStyle name="Normal" xfId="0" builtinId="0"/>
    <cellStyle name="Normal 113" xfId="6" xr:uid="{00000000-0005-0000-0000-000006000000}"/>
    <cellStyle name="Normal 117" xfId="7" xr:uid="{00000000-0005-0000-0000-000007000000}"/>
    <cellStyle name="Normal 127" xfId="8" xr:uid="{00000000-0005-0000-0000-000008000000}"/>
    <cellStyle name="Normal 3" xfId="9" xr:uid="{00000000-0005-0000-0000-000009000000}"/>
    <cellStyle name="Normal 3 4" xfId="10" xr:uid="{00000000-0005-0000-0000-00000A000000}"/>
    <cellStyle name="Normal 4 2" xfId="11" xr:uid="{00000000-0005-0000-0000-00000B000000}"/>
    <cellStyle name="Normal 5 4" xfId="12" xr:uid="{00000000-0005-0000-0000-00000C000000}"/>
    <cellStyle name="Normal_Sheet1 2 2" xfId="14" xr:uid="{8B754DB4-06FB-44D7-ACB4-2F40D45EDED7}"/>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Kosto e PV- NDARJA E SHPENZIMEVE</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0.25440140845070419"/>
          <c:y val="0.18090452261306531"/>
          <c:w val="0.49031690140845119"/>
          <c:h val="0.69974874371859375"/>
        </c:manualLayout>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0-59E5-4378-8DD9-3A8B04A4F3E6}"/>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1-59E5-4378-8DD9-3A8B04A4F3E6}"/>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2-59E5-4378-8DD9-3A8B04A4F3E6}"/>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B7A-43BF-9EBB-79E187BFFD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'Totali i Qellimeve te Politikav'!$G$31:$G$34</c:f>
              <c:strCache>
                <c:ptCount val="3"/>
                <c:pt idx="0">
                  <c:v>PBA  2024-2026</c:v>
                </c:pt>
                <c:pt idx="1">
                  <c:v>Financimi I huaj</c:v>
                </c:pt>
                <c:pt idx="2">
                  <c:v>Hendeku financiar 2024-2026</c:v>
                </c:pt>
              </c:strCache>
            </c:strRef>
          </c:cat>
          <c:val>
            <c:numRef>
              <c:f>'Totali i Qellimeve te Politikav'!$H$31:$H$34</c:f>
              <c:numCache>
                <c:formatCode>#,##0</c:formatCode>
                <c:ptCount val="4"/>
                <c:pt idx="0">
                  <c:v>14355339625.397251</c:v>
                </c:pt>
                <c:pt idx="1">
                  <c:v>209096316</c:v>
                </c:pt>
                <c:pt idx="2">
                  <c:v>15000000</c:v>
                </c:pt>
              </c:numCache>
            </c:numRef>
          </c:val>
          <c:extLst>
            <c:ext xmlns:c16="http://schemas.microsoft.com/office/drawing/2014/chart" uri="{C3380CC4-5D6E-409C-BE32-E72D297353CC}">
              <c16:uniqueId val="{00000003-59E5-4378-8DD9-3A8B04A4F3E6}"/>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zero"/>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0" i="0" strike="noStrike">
                <a:solidFill>
                  <a:srgbClr val="333333"/>
                </a:solidFill>
                <a:latin typeface="Arial Black"/>
              </a:rPr>
              <a:t>NATYRA EKONOMIKE E KOSTOVE TË PLANIT TE VEPRIMIT</a:t>
            </a:r>
            <a:endParaRPr lang="en-US" sz="14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layout>
        <c:manualLayout>
          <c:xMode val="edge"/>
          <c:yMode val="edge"/>
          <c:x val="0.20853198535303072"/>
          <c:y val="1.2538861007383941E-2"/>
        </c:manualLayout>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7974E-2"/>
          <c:y val="0.18718592964824118"/>
          <c:w val="0.80897887323943718"/>
          <c:h val="0.7211055276381919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B3CC-43F5-94BE-C2C3A6E069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B3CC-43F5-94BE-C2C3A6E06997}"/>
              </c:ext>
            </c:extLst>
          </c:dPt>
          <c:dLbls>
            <c:dLbl>
              <c:idx val="0"/>
              <c:layout>
                <c:manualLayout>
                  <c:x val="-6.6031033940571512E-2"/>
                  <c:y val="0.102817939059444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3CC-43F5-94BE-C2C3A6E06997}"/>
                </c:ext>
              </c:extLst>
            </c:dLbl>
            <c:dLbl>
              <c:idx val="1"/>
              <c:layout>
                <c:manualLayout>
                  <c:x val="0.11782930290189129"/>
                  <c:y val="-5.76139271531667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CC-43F5-94BE-C2C3A6E06997}"/>
                </c:ext>
              </c:extLst>
            </c:dLbl>
            <c:spPr>
              <a:noFill/>
              <a:ln w="25400">
                <a:noFill/>
              </a:ln>
            </c:spPr>
            <c:txPr>
              <a:bodyPr wrap="square" lIns="38100" tIns="19050" rIns="38100" bIns="19050" anchor="ctr">
                <a:spAutoFit/>
              </a:bodyPr>
              <a:lstStyle/>
              <a:p>
                <a:pPr>
                  <a:defRPr sz="1200" b="1"/>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'Totali i Qellimeve te Politikav'!$G$37:$G$38</c:f>
              <c:strCache>
                <c:ptCount val="2"/>
                <c:pt idx="0">
                  <c:v>Kosto Korente </c:v>
                </c:pt>
                <c:pt idx="1">
                  <c:v>Kosto kapitale</c:v>
                </c:pt>
              </c:strCache>
            </c:strRef>
          </c:cat>
          <c:val>
            <c:numRef>
              <c:f>'Totali i Qellimeve te Politikav'!$H$37:$H$38</c:f>
              <c:numCache>
                <c:formatCode>#,##0</c:formatCode>
                <c:ptCount val="2"/>
                <c:pt idx="0">
                  <c:v>14330300886.796558</c:v>
                </c:pt>
                <c:pt idx="1">
                  <c:v>249135054.60069028</c:v>
                </c:pt>
              </c:numCache>
            </c:numRef>
          </c:val>
          <c:extLst>
            <c:ext xmlns:c16="http://schemas.microsoft.com/office/drawing/2014/chart" uri="{C3380CC4-5D6E-409C-BE32-E72D297353CC}">
              <c16:uniqueId val="{00000002-B3CC-43F5-94BE-C2C3A6E0699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Black" panose="020B0A04020102020204" pitchFamily="34" charset="0"/>
              </a:rPr>
              <a:t>Kostot lidhur</a:t>
            </a:r>
            <a:r>
              <a:rPr lang="en-US" baseline="0">
                <a:latin typeface="Arial Black" panose="020B0A04020102020204" pitchFamily="34" charset="0"/>
              </a:rPr>
              <a:t> me</a:t>
            </a:r>
            <a:r>
              <a:rPr lang="en-US">
                <a:latin typeface="Arial Black" panose="020B0A04020102020204" pitchFamily="34" charset="0"/>
              </a:rPr>
              <a:t> Qëllimet</a:t>
            </a:r>
            <a:r>
              <a:rPr lang="en-US" baseline="0">
                <a:latin typeface="Arial Black" panose="020B0A04020102020204" pitchFamily="34" charset="0"/>
              </a:rPr>
              <a:t> e Politikave</a:t>
            </a:r>
            <a:endParaRPr lang="en-US">
              <a:latin typeface="Arial Black" panose="020B0A04020102020204" pitchFamily="34" charset="0"/>
            </a:endParaRPr>
          </a:p>
        </c:rich>
      </c:tx>
      <c:overlay val="0"/>
      <c:spPr>
        <a:noFill/>
        <a:ln w="25400">
          <a:noFill/>
        </a:ln>
      </c:spPr>
    </c:title>
    <c:autoTitleDeleted val="0"/>
    <c:plotArea>
      <c:layout>
        <c:manualLayout>
          <c:layoutTarget val="inner"/>
          <c:xMode val="edge"/>
          <c:yMode val="edge"/>
          <c:x val="8.7602491115403622E-2"/>
          <c:y val="9.7555300573118092E-2"/>
          <c:w val="0.8062394386768591"/>
          <c:h val="0.83970250976328042"/>
        </c:manualLayout>
      </c:layout>
      <c:barChart>
        <c:barDir val="col"/>
        <c:grouping val="percentStacked"/>
        <c:varyColors val="0"/>
        <c:ser>
          <c:idx val="0"/>
          <c:order val="0"/>
          <c:tx>
            <c:strRef>
              <c:f>'Totali i Qellimeve te Politikav'!$K$31</c:f>
              <c:strCache>
                <c:ptCount val="1"/>
                <c:pt idx="0">
                  <c:v>Kosto Korente</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Qellimeve te Politikav'!$J$32:$J$34</c:f>
              <c:strCache>
                <c:ptCount val="3"/>
                <c:pt idx="0">
                  <c:v>Qëllimi i Politikës I</c:v>
                </c:pt>
                <c:pt idx="1">
                  <c:v>Qëllimi i Politikës II</c:v>
                </c:pt>
                <c:pt idx="2">
                  <c:v>Qëllimi i Politikës III</c:v>
                </c:pt>
              </c:strCache>
            </c:strRef>
          </c:cat>
          <c:val>
            <c:numRef>
              <c:f>'Totali i Qellimeve te Politikav'!$K$32:$K$34</c:f>
              <c:numCache>
                <c:formatCode>#,##0</c:formatCode>
                <c:ptCount val="3"/>
                <c:pt idx="0">
                  <c:v>12584831948.387466</c:v>
                </c:pt>
                <c:pt idx="1">
                  <c:v>1424537964.7727275</c:v>
                </c:pt>
                <c:pt idx="2">
                  <c:v>320930973.63636363</c:v>
                </c:pt>
              </c:numCache>
            </c:numRef>
          </c:val>
          <c:extLst>
            <c:ext xmlns:c16="http://schemas.microsoft.com/office/drawing/2014/chart" uri="{C3380CC4-5D6E-409C-BE32-E72D297353CC}">
              <c16:uniqueId val="{00000000-6A1C-42D3-B41C-F2E4F4479BA2}"/>
            </c:ext>
          </c:extLst>
        </c:ser>
        <c:ser>
          <c:idx val="1"/>
          <c:order val="1"/>
          <c:tx>
            <c:strRef>
              <c:f>'Totali i Qellimeve te Politikav'!$L$31</c:f>
              <c:strCache>
                <c:ptCount val="1"/>
                <c:pt idx="0">
                  <c:v>Kosto Kapitale</c:v>
                </c:pt>
              </c:strCache>
            </c:strRef>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Qellimeve te Politikav'!$J$32:$J$34</c:f>
              <c:strCache>
                <c:ptCount val="3"/>
                <c:pt idx="0">
                  <c:v>Qëllimi i Politikës I</c:v>
                </c:pt>
                <c:pt idx="1">
                  <c:v>Qëllimi i Politikës II</c:v>
                </c:pt>
                <c:pt idx="2">
                  <c:v>Qëllimi i Politikës III</c:v>
                </c:pt>
              </c:strCache>
            </c:strRef>
          </c:cat>
          <c:val>
            <c:numRef>
              <c:f>'Totali i Qellimeve te Politikav'!$L$32:$L$34</c:f>
              <c:numCache>
                <c:formatCode>#,##0</c:formatCode>
                <c:ptCount val="3"/>
                <c:pt idx="0">
                  <c:v>16680633.600690287</c:v>
                </c:pt>
                <c:pt idx="1">
                  <c:v>23358104.999999996</c:v>
                </c:pt>
                <c:pt idx="2">
                  <c:v>209096316</c:v>
                </c:pt>
              </c:numCache>
            </c:numRef>
          </c:val>
          <c:extLst>
            <c:ext xmlns:c16="http://schemas.microsoft.com/office/drawing/2014/chart" uri="{C3380CC4-5D6E-409C-BE32-E72D297353CC}">
              <c16:uniqueId val="{00000001-6A1C-42D3-B41C-F2E4F4479BA2}"/>
            </c:ext>
          </c:extLst>
        </c:ser>
        <c:dLbls>
          <c:showLegendKey val="0"/>
          <c:showVal val="0"/>
          <c:showCatName val="0"/>
          <c:showSerName val="0"/>
          <c:showPercent val="0"/>
          <c:showBubbleSize val="0"/>
        </c:dLbls>
        <c:gapWidth val="55"/>
        <c:overlap val="100"/>
        <c:axId val="306712832"/>
        <c:axId val="306715968"/>
      </c:barChart>
      <c:catAx>
        <c:axId val="30671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715968"/>
        <c:crosses val="autoZero"/>
        <c:auto val="1"/>
        <c:lblAlgn val="ctr"/>
        <c:lblOffset val="100"/>
        <c:noMultiLvlLbl val="0"/>
      </c:catAx>
      <c:valAx>
        <c:axId val="306715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712832"/>
        <c:crosses val="autoZero"/>
        <c:crossBetween val="between"/>
      </c:valAx>
      <c:spPr>
        <a:noFill/>
        <a:ln w="25400">
          <a:noFill/>
        </a:ln>
      </c:spPr>
    </c:plotArea>
    <c:legend>
      <c:legendPos val="r"/>
      <c:layout>
        <c:manualLayout>
          <c:xMode val="edge"/>
          <c:yMode val="edge"/>
          <c:x val="0.89524647887323927"/>
          <c:y val="0.49748743718592997"/>
          <c:w val="9.9471830985915513E-2"/>
          <c:h val="7.035175879396984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9" tint="-0.249977111117893"/>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9" tint="-0.249977111117893"/>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43347" cy="6281777"/>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39175" cy="627697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36000" cy="6265333"/>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N226"/>
  <sheetViews>
    <sheetView tabSelected="1" zoomScale="80" zoomScaleNormal="80" zoomScaleSheetLayoutView="87" workbookViewId="0">
      <pane ySplit="8" topLeftCell="A115" activePane="bottomLeft" state="frozen"/>
      <selection activeCell="A6" sqref="A6"/>
      <selection pane="bottomLeft" activeCell="O116" sqref="O116"/>
    </sheetView>
  </sheetViews>
  <sheetFormatPr defaultColWidth="8.85546875" defaultRowHeight="12" x14ac:dyDescent="0.2"/>
  <cols>
    <col min="1" max="1" width="3.5703125" style="7" customWidth="1"/>
    <col min="2" max="2" width="8.140625" style="21" bestFit="1" customWidth="1"/>
    <col min="3" max="3" width="61.7109375" style="7" customWidth="1"/>
    <col min="4" max="4" width="7.42578125" style="7" hidden="1" customWidth="1"/>
    <col min="5" max="5" width="17.85546875" style="7" customWidth="1"/>
    <col min="6" max="6" width="16" style="8" customWidth="1"/>
    <col min="7" max="7" width="15" style="8" customWidth="1"/>
    <col min="8" max="8" width="11" style="8" customWidth="1"/>
    <col min="9" max="9" width="11.140625" style="8" customWidth="1"/>
    <col min="10" max="10" width="18.28515625" style="14" customWidth="1"/>
    <col min="11" max="11" width="12.7109375" style="14" customWidth="1"/>
    <col min="12" max="12" width="19.140625" style="14" customWidth="1"/>
    <col min="13" max="13" width="16" style="14" customWidth="1"/>
    <col min="14" max="14" width="12.7109375" style="14" customWidth="1"/>
    <col min="15" max="15" width="16.140625" style="14" customWidth="1"/>
    <col min="16" max="16" width="17.5703125" style="14" customWidth="1"/>
    <col min="17" max="17" width="12.7109375" style="14" customWidth="1"/>
    <col min="18" max="18" width="16" style="14" customWidth="1"/>
    <col min="19" max="19" width="17.5703125" style="14" customWidth="1"/>
    <col min="20" max="20" width="14.28515625" style="14" customWidth="1"/>
    <col min="21" max="21" width="17.42578125" style="14" customWidth="1"/>
    <col min="22" max="22" width="16.7109375" style="14" customWidth="1"/>
    <col min="23" max="23" width="16.140625" style="14" customWidth="1"/>
    <col min="24" max="24" width="19.140625" style="14" customWidth="1"/>
    <col min="25" max="25" width="12.7109375" style="14" customWidth="1"/>
    <col min="26" max="26" width="14.7109375" style="14" customWidth="1"/>
    <col min="27" max="27" width="12.7109375" style="14" customWidth="1"/>
    <col min="28" max="28" width="15.5703125" style="14" customWidth="1"/>
    <col min="29" max="29" width="17.85546875" style="14" customWidth="1"/>
    <col min="30" max="16384" width="8.85546875" style="7"/>
  </cols>
  <sheetData>
    <row r="1" spans="1:29" ht="25.5" customHeight="1" thickBot="1" x14ac:dyDescent="0.25">
      <c r="C1" s="6"/>
      <c r="D1" s="6"/>
      <c r="E1" s="6"/>
      <c r="F1" s="21"/>
    </row>
    <row r="2" spans="1:29" ht="46.5" customHeight="1" thickBot="1" x14ac:dyDescent="0.25">
      <c r="A2" s="81"/>
      <c r="B2" s="152" t="s">
        <v>665</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4"/>
    </row>
    <row r="3" spans="1:29" ht="21" customHeight="1" thickBot="1" x14ac:dyDescent="0.25">
      <c r="A3" s="82"/>
      <c r="B3" s="157" t="s">
        <v>46</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9"/>
    </row>
    <row r="4" spans="1:29" s="47" customFormat="1" ht="29.25" customHeight="1" thickBot="1" x14ac:dyDescent="0.25">
      <c r="A4" s="83"/>
      <c r="B4" s="173" t="s">
        <v>95</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5"/>
    </row>
    <row r="5" spans="1:29" ht="30" customHeight="1" thickBot="1" x14ac:dyDescent="0.25">
      <c r="A5" s="340"/>
      <c r="B5" s="339" t="s">
        <v>640</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7"/>
    </row>
    <row r="6" spans="1:29" ht="30.75" customHeight="1" thickBot="1" x14ac:dyDescent="0.25">
      <c r="B6" s="165" t="s">
        <v>0</v>
      </c>
      <c r="C6" s="162" t="s">
        <v>33</v>
      </c>
      <c r="D6" s="162" t="s">
        <v>1</v>
      </c>
      <c r="E6" s="80" t="s">
        <v>34</v>
      </c>
      <c r="F6" s="155" t="s">
        <v>35</v>
      </c>
      <c r="G6" s="155"/>
      <c r="H6" s="155" t="s">
        <v>40</v>
      </c>
      <c r="I6" s="156"/>
      <c r="J6" s="148" t="s">
        <v>43</v>
      </c>
      <c r="K6" s="146"/>
      <c r="L6" s="149"/>
      <c r="M6" s="146" t="s">
        <v>44</v>
      </c>
      <c r="N6" s="146"/>
      <c r="O6" s="146"/>
      <c r="P6" s="148" t="s">
        <v>86</v>
      </c>
      <c r="Q6" s="146"/>
      <c r="R6" s="149"/>
      <c r="S6" s="148" t="s">
        <v>93</v>
      </c>
      <c r="T6" s="146"/>
      <c r="U6" s="149"/>
      <c r="V6" s="147" t="s">
        <v>423</v>
      </c>
      <c r="W6" s="147"/>
      <c r="X6" s="147"/>
      <c r="Y6" s="147"/>
      <c r="Z6" s="147"/>
      <c r="AA6" s="147"/>
      <c r="AB6" s="151"/>
      <c r="AC6" s="160" t="s">
        <v>39</v>
      </c>
    </row>
    <row r="7" spans="1:29" ht="30.75" customHeight="1" thickBot="1" x14ac:dyDescent="0.25">
      <c r="B7" s="166"/>
      <c r="C7" s="163"/>
      <c r="D7" s="163"/>
      <c r="E7" s="171" t="s">
        <v>36</v>
      </c>
      <c r="F7" s="183" t="s">
        <v>37</v>
      </c>
      <c r="G7" s="183" t="s">
        <v>38</v>
      </c>
      <c r="H7" s="163" t="s">
        <v>70</v>
      </c>
      <c r="I7" s="181" t="s">
        <v>71</v>
      </c>
      <c r="J7" s="150"/>
      <c r="K7" s="147"/>
      <c r="L7" s="151"/>
      <c r="M7" s="147"/>
      <c r="N7" s="147"/>
      <c r="O7" s="147"/>
      <c r="P7" s="150"/>
      <c r="Q7" s="147"/>
      <c r="R7" s="151"/>
      <c r="S7" s="150"/>
      <c r="T7" s="147"/>
      <c r="U7" s="151"/>
      <c r="V7" s="168" t="s">
        <v>97</v>
      </c>
      <c r="W7" s="168"/>
      <c r="X7" s="169"/>
      <c r="Y7" s="170" t="s">
        <v>96</v>
      </c>
      <c r="Z7" s="168"/>
      <c r="AA7" s="168"/>
      <c r="AB7" s="169"/>
      <c r="AC7" s="161"/>
    </row>
    <row r="8" spans="1:29" ht="36.75" customHeight="1" thickBot="1" x14ac:dyDescent="0.25">
      <c r="A8" s="46"/>
      <c r="B8" s="167"/>
      <c r="C8" s="164"/>
      <c r="D8" s="164"/>
      <c r="E8" s="172"/>
      <c r="F8" s="184"/>
      <c r="G8" s="184"/>
      <c r="H8" s="164"/>
      <c r="I8" s="182"/>
      <c r="J8" s="42" t="s">
        <v>17</v>
      </c>
      <c r="K8" s="39" t="s">
        <v>18</v>
      </c>
      <c r="L8" s="44" t="s">
        <v>21</v>
      </c>
      <c r="M8" s="43" t="s">
        <v>17</v>
      </c>
      <c r="N8" s="39" t="s">
        <v>18</v>
      </c>
      <c r="O8" s="43" t="s">
        <v>21</v>
      </c>
      <c r="P8" s="42" t="s">
        <v>17</v>
      </c>
      <c r="Q8" s="43" t="s">
        <v>18</v>
      </c>
      <c r="R8" s="44" t="s">
        <v>21</v>
      </c>
      <c r="S8" s="42" t="s">
        <v>17</v>
      </c>
      <c r="T8" s="43" t="s">
        <v>18</v>
      </c>
      <c r="U8" s="44" t="s">
        <v>21</v>
      </c>
      <c r="V8" s="43" t="s">
        <v>17</v>
      </c>
      <c r="W8" s="39" t="s">
        <v>18</v>
      </c>
      <c r="X8" s="44" t="s">
        <v>19</v>
      </c>
      <c r="Y8" s="42" t="s">
        <v>17</v>
      </c>
      <c r="Z8" s="39" t="s">
        <v>18</v>
      </c>
      <c r="AA8" s="44" t="s">
        <v>41</v>
      </c>
      <c r="AB8" s="44" t="s">
        <v>42</v>
      </c>
      <c r="AC8" s="44"/>
    </row>
    <row r="9" spans="1:29" ht="38.25" customHeight="1" thickBot="1" x14ac:dyDescent="0.25">
      <c r="B9" s="244">
        <v>1.1000000000000001</v>
      </c>
      <c r="C9" s="179" t="s">
        <v>645</v>
      </c>
      <c r="D9" s="180"/>
      <c r="E9" s="145"/>
      <c r="F9" s="245"/>
      <c r="G9" s="245"/>
      <c r="H9" s="245"/>
      <c r="I9" s="245"/>
      <c r="J9" s="246"/>
      <c r="K9" s="246"/>
      <c r="L9" s="247"/>
      <c r="M9" s="246"/>
      <c r="N9" s="246"/>
      <c r="O9" s="247"/>
      <c r="P9" s="247"/>
      <c r="Q9" s="247"/>
      <c r="R9" s="247"/>
      <c r="S9" s="247"/>
      <c r="T9" s="247"/>
      <c r="U9" s="247"/>
      <c r="V9" s="247"/>
      <c r="W9" s="247"/>
      <c r="X9" s="247"/>
      <c r="Y9" s="247"/>
      <c r="Z9" s="247"/>
      <c r="AA9" s="247"/>
      <c r="AB9" s="247"/>
      <c r="AC9" s="248"/>
    </row>
    <row r="10" spans="1:29" ht="29.25" customHeight="1" x14ac:dyDescent="0.2">
      <c r="B10" s="249"/>
      <c r="C10" s="179" t="s">
        <v>148</v>
      </c>
      <c r="D10" s="180"/>
      <c r="E10" s="141"/>
      <c r="F10" s="92"/>
      <c r="G10" s="92"/>
      <c r="H10" s="92"/>
      <c r="I10" s="92"/>
      <c r="J10" s="237"/>
      <c r="K10" s="237"/>
      <c r="L10" s="238"/>
      <c r="M10" s="237"/>
      <c r="N10" s="237"/>
      <c r="O10" s="238"/>
      <c r="P10" s="238"/>
      <c r="Q10" s="238"/>
      <c r="R10" s="238"/>
      <c r="S10" s="238"/>
      <c r="T10" s="238"/>
      <c r="U10" s="238"/>
      <c r="V10" s="238"/>
      <c r="W10" s="238"/>
      <c r="X10" s="238"/>
      <c r="Y10" s="238"/>
      <c r="Z10" s="238"/>
      <c r="AA10" s="238"/>
      <c r="AB10" s="238"/>
      <c r="AC10" s="239"/>
    </row>
    <row r="11" spans="1:29" ht="56.25" customHeight="1" x14ac:dyDescent="0.2">
      <c r="B11" s="100" t="s">
        <v>2</v>
      </c>
      <c r="C11" s="101" t="s">
        <v>149</v>
      </c>
      <c r="D11" s="236"/>
      <c r="E11" s="102" t="s">
        <v>473</v>
      </c>
      <c r="F11" s="103" t="s">
        <v>383</v>
      </c>
      <c r="G11" s="103" t="s">
        <v>386</v>
      </c>
      <c r="H11" s="103">
        <v>2024</v>
      </c>
      <c r="I11" s="92">
        <v>2026</v>
      </c>
      <c r="J11" s="237">
        <v>36647600</v>
      </c>
      <c r="K11" s="237">
        <v>0</v>
      </c>
      <c r="L11" s="238">
        <f>J11+K11</f>
        <v>36647600</v>
      </c>
      <c r="M11" s="237">
        <v>36647600</v>
      </c>
      <c r="N11" s="237">
        <v>0</v>
      </c>
      <c r="O11" s="238">
        <f>M11+N11</f>
        <v>36647600</v>
      </c>
      <c r="P11" s="237">
        <v>36647600</v>
      </c>
      <c r="Q11" s="237">
        <v>0</v>
      </c>
      <c r="R11" s="238">
        <f>P11+Q11</f>
        <v>36647600</v>
      </c>
      <c r="S11" s="238">
        <f>J11+M11+P11</f>
        <v>109942800</v>
      </c>
      <c r="T11" s="238">
        <f>K11+N11+Q11</f>
        <v>0</v>
      </c>
      <c r="U11" s="238">
        <f>S11+T11</f>
        <v>109942800</v>
      </c>
      <c r="V11" s="238">
        <f>S11</f>
        <v>109942800</v>
      </c>
      <c r="W11" s="238">
        <f>T11</f>
        <v>0</v>
      </c>
      <c r="X11" s="238">
        <f>V11+W11</f>
        <v>109942800</v>
      </c>
      <c r="Y11" s="238">
        <v>0</v>
      </c>
      <c r="Z11" s="238">
        <v>0</v>
      </c>
      <c r="AA11" s="238"/>
      <c r="AB11" s="238">
        <f>Y11+Z11</f>
        <v>0</v>
      </c>
      <c r="AC11" s="239">
        <f>U11-X11-AB11</f>
        <v>0</v>
      </c>
    </row>
    <row r="12" spans="1:29" s="47" customFormat="1" ht="56.25" customHeight="1" x14ac:dyDescent="0.2">
      <c r="B12" s="100" t="s">
        <v>3</v>
      </c>
      <c r="C12" s="104" t="s">
        <v>150</v>
      </c>
      <c r="D12" s="236"/>
      <c r="E12" s="102" t="s">
        <v>473</v>
      </c>
      <c r="F12" s="103" t="s">
        <v>383</v>
      </c>
      <c r="G12" s="103" t="s">
        <v>384</v>
      </c>
      <c r="H12" s="103">
        <v>2024</v>
      </c>
      <c r="I12" s="92">
        <v>2026</v>
      </c>
      <c r="J12" s="237">
        <v>36647600</v>
      </c>
      <c r="K12" s="237">
        <v>0</v>
      </c>
      <c r="L12" s="238">
        <f t="shared" ref="L12:L18" si="0">J12+K12</f>
        <v>36647600</v>
      </c>
      <c r="M12" s="237">
        <v>36647600</v>
      </c>
      <c r="N12" s="237">
        <v>0</v>
      </c>
      <c r="O12" s="238">
        <f t="shared" ref="O12:O18" si="1">M12+N12</f>
        <v>36647600</v>
      </c>
      <c r="P12" s="237">
        <v>36647600</v>
      </c>
      <c r="Q12" s="237">
        <v>0</v>
      </c>
      <c r="R12" s="238">
        <f t="shared" ref="R12:R18" si="2">P12+Q12</f>
        <v>36647600</v>
      </c>
      <c r="S12" s="238">
        <f t="shared" ref="S12:S18" si="3">J12+M12+P12</f>
        <v>109942800</v>
      </c>
      <c r="T12" s="238">
        <f t="shared" ref="T12:T27" si="4">K12+N12+Q12</f>
        <v>0</v>
      </c>
      <c r="U12" s="238">
        <f t="shared" ref="U12:U18" si="5">S12+T12</f>
        <v>109942800</v>
      </c>
      <c r="V12" s="238">
        <f t="shared" ref="V12:V27" si="6">S12</f>
        <v>109942800</v>
      </c>
      <c r="W12" s="238">
        <f t="shared" ref="W12:W27" si="7">T12</f>
        <v>0</v>
      </c>
      <c r="X12" s="238">
        <f t="shared" ref="X12:X27" si="8">V12+W12</f>
        <v>109942800</v>
      </c>
      <c r="Y12" s="238">
        <v>0</v>
      </c>
      <c r="Z12" s="238">
        <v>0</v>
      </c>
      <c r="AA12" s="238"/>
      <c r="AB12" s="238">
        <f t="shared" ref="AB12:AB27" si="9">Y12+Z12</f>
        <v>0</v>
      </c>
      <c r="AC12" s="239">
        <f t="shared" ref="AC12:AC27" si="10">U12-X12-AB12</f>
        <v>0</v>
      </c>
    </row>
    <row r="13" spans="1:29" ht="49.5" customHeight="1" x14ac:dyDescent="0.2">
      <c r="B13" s="100" t="s">
        <v>4</v>
      </c>
      <c r="C13" s="105" t="s">
        <v>488</v>
      </c>
      <c r="D13" s="236"/>
      <c r="E13" s="102" t="s">
        <v>473</v>
      </c>
      <c r="F13" s="106" t="s">
        <v>383</v>
      </c>
      <c r="G13" s="103"/>
      <c r="H13" s="103">
        <v>2024</v>
      </c>
      <c r="I13" s="92">
        <v>2026</v>
      </c>
      <c r="J13" s="237">
        <v>36647600</v>
      </c>
      <c r="K13" s="237">
        <v>0</v>
      </c>
      <c r="L13" s="238">
        <f t="shared" si="0"/>
        <v>36647600</v>
      </c>
      <c r="M13" s="237">
        <v>36647600</v>
      </c>
      <c r="N13" s="237">
        <v>0</v>
      </c>
      <c r="O13" s="238">
        <f t="shared" si="1"/>
        <v>36647600</v>
      </c>
      <c r="P13" s="237">
        <v>36647600</v>
      </c>
      <c r="Q13" s="237">
        <v>0</v>
      </c>
      <c r="R13" s="238">
        <f t="shared" si="2"/>
        <v>36647600</v>
      </c>
      <c r="S13" s="238">
        <f t="shared" si="3"/>
        <v>109942800</v>
      </c>
      <c r="T13" s="238">
        <f t="shared" si="4"/>
        <v>0</v>
      </c>
      <c r="U13" s="238">
        <f t="shared" si="5"/>
        <v>109942800</v>
      </c>
      <c r="V13" s="238">
        <f t="shared" si="6"/>
        <v>109942800</v>
      </c>
      <c r="W13" s="238">
        <f t="shared" si="7"/>
        <v>0</v>
      </c>
      <c r="X13" s="238">
        <f t="shared" si="8"/>
        <v>109942800</v>
      </c>
      <c r="Y13" s="238">
        <v>0</v>
      </c>
      <c r="Z13" s="238">
        <v>0</v>
      </c>
      <c r="AA13" s="238"/>
      <c r="AB13" s="238">
        <f t="shared" si="9"/>
        <v>0</v>
      </c>
      <c r="AC13" s="239">
        <f t="shared" si="10"/>
        <v>0</v>
      </c>
    </row>
    <row r="14" spans="1:29" ht="108.75" customHeight="1" x14ac:dyDescent="0.2">
      <c r="B14" s="100" t="s">
        <v>151</v>
      </c>
      <c r="C14" s="107" t="s">
        <v>152</v>
      </c>
      <c r="D14" s="236"/>
      <c r="E14" s="240" t="s">
        <v>627</v>
      </c>
      <c r="F14" s="103" t="s">
        <v>518</v>
      </c>
      <c r="G14" s="103" t="s">
        <v>535</v>
      </c>
      <c r="H14" s="103">
        <v>2024</v>
      </c>
      <c r="I14" s="92">
        <v>2026</v>
      </c>
      <c r="J14" s="237">
        <f>8160+795818</f>
        <v>803978</v>
      </c>
      <c r="K14" s="237">
        <v>0</v>
      </c>
      <c r="L14" s="238">
        <f t="shared" si="0"/>
        <v>803978</v>
      </c>
      <c r="M14" s="237">
        <f>8160+2029091</f>
        <v>2037251</v>
      </c>
      <c r="N14" s="237">
        <v>0</v>
      </c>
      <c r="O14" s="238">
        <f t="shared" si="1"/>
        <v>2037251</v>
      </c>
      <c r="P14" s="237">
        <f>8160</f>
        <v>8160</v>
      </c>
      <c r="Q14" s="237">
        <v>0</v>
      </c>
      <c r="R14" s="238">
        <f t="shared" si="2"/>
        <v>8160</v>
      </c>
      <c r="S14" s="238">
        <f t="shared" si="3"/>
        <v>2849389</v>
      </c>
      <c r="T14" s="238">
        <f t="shared" si="4"/>
        <v>0</v>
      </c>
      <c r="U14" s="238">
        <f t="shared" si="5"/>
        <v>2849389</v>
      </c>
      <c r="V14" s="238">
        <f t="shared" si="6"/>
        <v>2849389</v>
      </c>
      <c r="W14" s="238">
        <f t="shared" si="7"/>
        <v>0</v>
      </c>
      <c r="X14" s="238">
        <f t="shared" si="8"/>
        <v>2849389</v>
      </c>
      <c r="Y14" s="238">
        <v>0</v>
      </c>
      <c r="Z14" s="238">
        <v>0</v>
      </c>
      <c r="AA14" s="238"/>
      <c r="AB14" s="238">
        <f t="shared" si="9"/>
        <v>0</v>
      </c>
      <c r="AC14" s="239">
        <f t="shared" si="10"/>
        <v>0</v>
      </c>
    </row>
    <row r="15" spans="1:29" ht="75.75" customHeight="1" x14ac:dyDescent="0.2">
      <c r="B15" s="100" t="s">
        <v>153</v>
      </c>
      <c r="C15" s="107" t="s">
        <v>490</v>
      </c>
      <c r="D15" s="236"/>
      <c r="E15" s="102" t="s">
        <v>474</v>
      </c>
      <c r="F15" s="103" t="s">
        <v>383</v>
      </c>
      <c r="G15" s="103" t="s">
        <v>489</v>
      </c>
      <c r="H15" s="103">
        <v>2024</v>
      </c>
      <c r="I15" s="92">
        <v>2026</v>
      </c>
      <c r="J15" s="237">
        <v>126411150</v>
      </c>
      <c r="K15" s="237">
        <v>0</v>
      </c>
      <c r="L15" s="238">
        <f t="shared" si="0"/>
        <v>126411150</v>
      </c>
      <c r="M15" s="237">
        <v>126411150</v>
      </c>
      <c r="N15" s="237">
        <v>0</v>
      </c>
      <c r="O15" s="238">
        <f t="shared" si="1"/>
        <v>126411150</v>
      </c>
      <c r="P15" s="237">
        <v>126411150</v>
      </c>
      <c r="Q15" s="237">
        <v>0</v>
      </c>
      <c r="R15" s="238">
        <f t="shared" si="2"/>
        <v>126411150</v>
      </c>
      <c r="S15" s="238">
        <f t="shared" si="3"/>
        <v>379233450</v>
      </c>
      <c r="T15" s="238">
        <f t="shared" si="4"/>
        <v>0</v>
      </c>
      <c r="U15" s="238">
        <f t="shared" si="5"/>
        <v>379233450</v>
      </c>
      <c r="V15" s="238">
        <f t="shared" si="6"/>
        <v>379233450</v>
      </c>
      <c r="W15" s="238">
        <f t="shared" si="7"/>
        <v>0</v>
      </c>
      <c r="X15" s="238">
        <f t="shared" si="8"/>
        <v>379233450</v>
      </c>
      <c r="Y15" s="238">
        <v>0</v>
      </c>
      <c r="Z15" s="238">
        <v>0</v>
      </c>
      <c r="AA15" s="238"/>
      <c r="AB15" s="238">
        <f t="shared" si="9"/>
        <v>0</v>
      </c>
      <c r="AC15" s="239">
        <f t="shared" si="10"/>
        <v>0</v>
      </c>
    </row>
    <row r="16" spans="1:29" ht="51.75" customHeight="1" x14ac:dyDescent="0.2">
      <c r="B16" s="100" t="s">
        <v>154</v>
      </c>
      <c r="C16" s="107" t="s">
        <v>155</v>
      </c>
      <c r="D16" s="236"/>
      <c r="E16" s="102" t="s">
        <v>474</v>
      </c>
      <c r="F16" s="103" t="s">
        <v>383</v>
      </c>
      <c r="G16" s="103" t="s">
        <v>547</v>
      </c>
      <c r="H16" s="103">
        <v>2024</v>
      </c>
      <c r="I16" s="92">
        <v>2026</v>
      </c>
      <c r="J16" s="237">
        <v>7173300</v>
      </c>
      <c r="K16" s="237">
        <v>0</v>
      </c>
      <c r="L16" s="238">
        <f t="shared" si="0"/>
        <v>7173300</v>
      </c>
      <c r="M16" s="237">
        <v>7173300</v>
      </c>
      <c r="N16" s="237">
        <v>0</v>
      </c>
      <c r="O16" s="238">
        <f t="shared" si="1"/>
        <v>7173300</v>
      </c>
      <c r="P16" s="237">
        <v>7173300</v>
      </c>
      <c r="Q16" s="237">
        <v>0</v>
      </c>
      <c r="R16" s="238">
        <f t="shared" si="2"/>
        <v>7173300</v>
      </c>
      <c r="S16" s="238">
        <f t="shared" si="3"/>
        <v>21519900</v>
      </c>
      <c r="T16" s="238">
        <f t="shared" si="4"/>
        <v>0</v>
      </c>
      <c r="U16" s="238">
        <f t="shared" si="5"/>
        <v>21519900</v>
      </c>
      <c r="V16" s="238">
        <f t="shared" si="6"/>
        <v>21519900</v>
      </c>
      <c r="W16" s="238">
        <f t="shared" si="7"/>
        <v>0</v>
      </c>
      <c r="X16" s="238">
        <f t="shared" si="8"/>
        <v>21519900</v>
      </c>
      <c r="Y16" s="238">
        <v>0</v>
      </c>
      <c r="Z16" s="238">
        <v>0</v>
      </c>
      <c r="AA16" s="238"/>
      <c r="AB16" s="238">
        <f t="shared" si="9"/>
        <v>0</v>
      </c>
      <c r="AC16" s="239">
        <f t="shared" si="10"/>
        <v>0</v>
      </c>
    </row>
    <row r="17" spans="2:29" ht="51.75" customHeight="1" x14ac:dyDescent="0.2">
      <c r="B17" s="100" t="s">
        <v>156</v>
      </c>
      <c r="C17" s="107" t="s">
        <v>157</v>
      </c>
      <c r="D17" s="236"/>
      <c r="E17" s="235" t="s">
        <v>433</v>
      </c>
      <c r="F17" s="103" t="s">
        <v>634</v>
      </c>
      <c r="G17" s="103" t="s">
        <v>413</v>
      </c>
      <c r="H17" s="103">
        <v>2024</v>
      </c>
      <c r="I17" s="92">
        <v>2026</v>
      </c>
      <c r="J17" s="237">
        <v>22323080</v>
      </c>
      <c r="K17" s="237">
        <v>0</v>
      </c>
      <c r="L17" s="238">
        <f t="shared" si="0"/>
        <v>22323080</v>
      </c>
      <c r="M17" s="237">
        <v>26787700</v>
      </c>
      <c r="N17" s="237">
        <v>0</v>
      </c>
      <c r="O17" s="238">
        <f t="shared" si="1"/>
        <v>26787700</v>
      </c>
      <c r="P17" s="237">
        <v>32145200</v>
      </c>
      <c r="Q17" s="237">
        <v>0</v>
      </c>
      <c r="R17" s="238">
        <f t="shared" si="2"/>
        <v>32145200</v>
      </c>
      <c r="S17" s="238">
        <f t="shared" si="3"/>
        <v>81255980</v>
      </c>
      <c r="T17" s="238">
        <f t="shared" si="4"/>
        <v>0</v>
      </c>
      <c r="U17" s="238">
        <f t="shared" si="5"/>
        <v>81255980</v>
      </c>
      <c r="V17" s="238">
        <f t="shared" si="6"/>
        <v>81255980</v>
      </c>
      <c r="W17" s="238">
        <f t="shared" si="7"/>
        <v>0</v>
      </c>
      <c r="X17" s="238">
        <f t="shared" si="8"/>
        <v>81255980</v>
      </c>
      <c r="Y17" s="238">
        <v>0</v>
      </c>
      <c r="Z17" s="238">
        <v>0</v>
      </c>
      <c r="AA17" s="238"/>
      <c r="AB17" s="238">
        <f t="shared" si="9"/>
        <v>0</v>
      </c>
      <c r="AC17" s="239">
        <f t="shared" si="10"/>
        <v>0</v>
      </c>
    </row>
    <row r="18" spans="2:29" ht="81" customHeight="1" x14ac:dyDescent="0.2">
      <c r="B18" s="100" t="s">
        <v>158</v>
      </c>
      <c r="C18" s="107" t="s">
        <v>159</v>
      </c>
      <c r="D18" s="236"/>
      <c r="E18" s="235" t="s">
        <v>433</v>
      </c>
      <c r="F18" s="103" t="s">
        <v>534</v>
      </c>
      <c r="G18" s="103" t="s">
        <v>413</v>
      </c>
      <c r="H18" s="103">
        <v>2024</v>
      </c>
      <c r="I18" s="92">
        <v>2026</v>
      </c>
      <c r="J18" s="237">
        <v>22323080</v>
      </c>
      <c r="K18" s="237">
        <v>0</v>
      </c>
      <c r="L18" s="238">
        <f t="shared" si="0"/>
        <v>22323080</v>
      </c>
      <c r="M18" s="237">
        <v>26787700</v>
      </c>
      <c r="N18" s="237">
        <v>0</v>
      </c>
      <c r="O18" s="238">
        <f t="shared" si="1"/>
        <v>26787700</v>
      </c>
      <c r="P18" s="237">
        <v>32145200</v>
      </c>
      <c r="Q18" s="237">
        <v>0</v>
      </c>
      <c r="R18" s="238">
        <f t="shared" si="2"/>
        <v>32145200</v>
      </c>
      <c r="S18" s="238">
        <f t="shared" si="3"/>
        <v>81255980</v>
      </c>
      <c r="T18" s="238">
        <f t="shared" si="4"/>
        <v>0</v>
      </c>
      <c r="U18" s="238">
        <f t="shared" si="5"/>
        <v>81255980</v>
      </c>
      <c r="V18" s="238">
        <f t="shared" si="6"/>
        <v>81255980</v>
      </c>
      <c r="W18" s="238">
        <f t="shared" si="7"/>
        <v>0</v>
      </c>
      <c r="X18" s="238">
        <f t="shared" si="8"/>
        <v>81255980</v>
      </c>
      <c r="Y18" s="238">
        <v>0</v>
      </c>
      <c r="Z18" s="238">
        <v>0</v>
      </c>
      <c r="AA18" s="238"/>
      <c r="AB18" s="238">
        <f t="shared" si="9"/>
        <v>0</v>
      </c>
      <c r="AC18" s="239">
        <f t="shared" si="10"/>
        <v>0</v>
      </c>
    </row>
    <row r="19" spans="2:29" ht="30.75" customHeight="1" x14ac:dyDescent="0.2">
      <c r="B19" s="86"/>
      <c r="C19" s="90" t="s">
        <v>160</v>
      </c>
      <c r="D19" s="241"/>
      <c r="E19" s="88"/>
      <c r="F19" s="86"/>
      <c r="G19" s="86"/>
      <c r="H19" s="92"/>
      <c r="I19" s="92"/>
      <c r="J19" s="237"/>
      <c r="K19" s="237"/>
      <c r="L19" s="238"/>
      <c r="M19" s="237"/>
      <c r="N19" s="237"/>
      <c r="O19" s="238"/>
      <c r="P19" s="237"/>
      <c r="Q19" s="237"/>
      <c r="R19" s="238"/>
      <c r="S19" s="238"/>
      <c r="T19" s="238"/>
      <c r="U19" s="238"/>
      <c r="V19" s="238"/>
      <c r="W19" s="238"/>
      <c r="X19" s="238"/>
      <c r="Y19" s="238"/>
      <c r="Z19" s="238"/>
      <c r="AA19" s="238"/>
      <c r="AB19" s="238"/>
      <c r="AC19" s="239"/>
    </row>
    <row r="20" spans="2:29" ht="49.5" customHeight="1" x14ac:dyDescent="0.2">
      <c r="B20" s="86" t="s">
        <v>74</v>
      </c>
      <c r="C20" s="88" t="s">
        <v>491</v>
      </c>
      <c r="D20" s="241"/>
      <c r="E20" s="94" t="s">
        <v>474</v>
      </c>
      <c r="F20" s="92" t="s">
        <v>383</v>
      </c>
      <c r="G20" s="92" t="s">
        <v>545</v>
      </c>
      <c r="H20" s="92">
        <v>2024</v>
      </c>
      <c r="I20" s="92">
        <v>2026</v>
      </c>
      <c r="J20" s="237">
        <v>276227540</v>
      </c>
      <c r="K20" s="237">
        <v>0</v>
      </c>
      <c r="L20" s="238">
        <f>J20+K20</f>
        <v>276227540</v>
      </c>
      <c r="M20" s="237">
        <v>276227539.54545456</v>
      </c>
      <c r="N20" s="237">
        <v>0</v>
      </c>
      <c r="O20" s="238">
        <f t="shared" ref="O20:O22" si="11">M20+N20</f>
        <v>276227539.54545456</v>
      </c>
      <c r="P20" s="237">
        <v>276227540</v>
      </c>
      <c r="Q20" s="237">
        <v>0</v>
      </c>
      <c r="R20" s="238">
        <f t="shared" ref="R20:R22" si="12">P20+Q20</f>
        <v>276227540</v>
      </c>
      <c r="S20" s="238">
        <f>J20+M20+P20</f>
        <v>828682619.5454545</v>
      </c>
      <c r="T20" s="238">
        <f t="shared" si="4"/>
        <v>0</v>
      </c>
      <c r="U20" s="238">
        <f>S20+T20</f>
        <v>828682619.5454545</v>
      </c>
      <c r="V20" s="238">
        <f t="shared" si="6"/>
        <v>828682619.5454545</v>
      </c>
      <c r="W20" s="238">
        <f t="shared" si="7"/>
        <v>0</v>
      </c>
      <c r="X20" s="238">
        <f t="shared" si="8"/>
        <v>828682619.5454545</v>
      </c>
      <c r="Y20" s="238">
        <v>0</v>
      </c>
      <c r="Z20" s="238">
        <v>0</v>
      </c>
      <c r="AA20" s="238"/>
      <c r="AB20" s="238">
        <f t="shared" si="9"/>
        <v>0</v>
      </c>
      <c r="AC20" s="239">
        <f t="shared" si="10"/>
        <v>0</v>
      </c>
    </row>
    <row r="21" spans="2:29" ht="58.5" customHeight="1" x14ac:dyDescent="0.2">
      <c r="B21" s="86" t="s">
        <v>75</v>
      </c>
      <c r="C21" s="88" t="s">
        <v>161</v>
      </c>
      <c r="D21" s="141"/>
      <c r="E21" s="235" t="s">
        <v>628</v>
      </c>
      <c r="F21" s="92" t="s">
        <v>385</v>
      </c>
      <c r="G21" s="92" t="s">
        <v>546</v>
      </c>
      <c r="H21" s="92">
        <v>2024</v>
      </c>
      <c r="I21" s="92">
        <v>2026</v>
      </c>
      <c r="J21" s="237">
        <v>11000000</v>
      </c>
      <c r="K21" s="237">
        <v>0</v>
      </c>
      <c r="L21" s="238">
        <f t="shared" ref="L21:L27" si="13">J21+K21</f>
        <v>11000000</v>
      </c>
      <c r="M21" s="237">
        <v>11000000</v>
      </c>
      <c r="N21" s="237">
        <v>0</v>
      </c>
      <c r="O21" s="238">
        <f t="shared" si="11"/>
        <v>11000000</v>
      </c>
      <c r="P21" s="237">
        <v>11000000</v>
      </c>
      <c r="Q21" s="237">
        <v>0</v>
      </c>
      <c r="R21" s="238">
        <f t="shared" si="12"/>
        <v>11000000</v>
      </c>
      <c r="S21" s="238">
        <f t="shared" ref="S21:S22" si="14">J21+M21+P21</f>
        <v>33000000</v>
      </c>
      <c r="T21" s="238">
        <f t="shared" si="4"/>
        <v>0</v>
      </c>
      <c r="U21" s="238">
        <f t="shared" ref="U21:U22" si="15">S21+T21</f>
        <v>33000000</v>
      </c>
      <c r="V21" s="238">
        <f t="shared" si="6"/>
        <v>33000000</v>
      </c>
      <c r="W21" s="238">
        <f t="shared" si="7"/>
        <v>0</v>
      </c>
      <c r="X21" s="238">
        <f t="shared" si="8"/>
        <v>33000000</v>
      </c>
      <c r="Y21" s="238">
        <v>0</v>
      </c>
      <c r="Z21" s="238">
        <v>0</v>
      </c>
      <c r="AA21" s="238"/>
      <c r="AB21" s="238">
        <f t="shared" si="9"/>
        <v>0</v>
      </c>
      <c r="AC21" s="239">
        <f t="shared" si="10"/>
        <v>0</v>
      </c>
    </row>
    <row r="22" spans="2:29" ht="51" customHeight="1" x14ac:dyDescent="0.2">
      <c r="B22" s="86" t="s">
        <v>76</v>
      </c>
      <c r="C22" s="88" t="s">
        <v>162</v>
      </c>
      <c r="D22" s="241"/>
      <c r="E22" s="92" t="s">
        <v>90</v>
      </c>
      <c r="F22" s="92" t="s">
        <v>383</v>
      </c>
      <c r="G22" s="92" t="s">
        <v>480</v>
      </c>
      <c r="H22" s="92">
        <v>2024</v>
      </c>
      <c r="I22" s="92">
        <v>2026</v>
      </c>
      <c r="J22" s="237">
        <v>22000000</v>
      </c>
      <c r="K22" s="237">
        <v>0</v>
      </c>
      <c r="L22" s="238">
        <f t="shared" si="13"/>
        <v>22000000</v>
      </c>
      <c r="M22" s="237">
        <v>22000000</v>
      </c>
      <c r="N22" s="237">
        <v>0</v>
      </c>
      <c r="O22" s="238">
        <f t="shared" si="11"/>
        <v>22000000</v>
      </c>
      <c r="P22" s="237">
        <v>22000000</v>
      </c>
      <c r="Q22" s="237">
        <v>0</v>
      </c>
      <c r="R22" s="238">
        <f t="shared" si="12"/>
        <v>22000000</v>
      </c>
      <c r="S22" s="238">
        <f t="shared" si="14"/>
        <v>66000000</v>
      </c>
      <c r="T22" s="96">
        <f t="shared" si="4"/>
        <v>0</v>
      </c>
      <c r="U22" s="238">
        <f t="shared" si="15"/>
        <v>66000000</v>
      </c>
      <c r="V22" s="96">
        <f t="shared" si="6"/>
        <v>66000000</v>
      </c>
      <c r="W22" s="96">
        <f t="shared" si="7"/>
        <v>0</v>
      </c>
      <c r="X22" s="96">
        <f t="shared" si="8"/>
        <v>66000000</v>
      </c>
      <c r="Y22" s="238">
        <v>0</v>
      </c>
      <c r="Z22" s="238">
        <v>0</v>
      </c>
      <c r="AA22" s="238"/>
      <c r="AB22" s="238">
        <f t="shared" si="9"/>
        <v>0</v>
      </c>
      <c r="AC22" s="242">
        <f t="shared" si="10"/>
        <v>0</v>
      </c>
    </row>
    <row r="23" spans="2:29" ht="30" customHeight="1" x14ac:dyDescent="0.2">
      <c r="B23" s="86"/>
      <c r="C23" s="90" t="s">
        <v>163</v>
      </c>
      <c r="D23" s="241"/>
      <c r="E23" s="141"/>
      <c r="F23" s="92"/>
      <c r="G23" s="92"/>
      <c r="H23" s="92"/>
      <c r="I23" s="92"/>
      <c r="J23" s="237"/>
      <c r="K23" s="237"/>
      <c r="L23" s="238">
        <f t="shared" si="13"/>
        <v>0</v>
      </c>
      <c r="M23" s="237"/>
      <c r="N23" s="237"/>
      <c r="O23" s="238"/>
      <c r="P23" s="237"/>
      <c r="Q23" s="237"/>
      <c r="R23" s="238"/>
      <c r="S23" s="238"/>
      <c r="T23" s="238"/>
      <c r="U23" s="238"/>
      <c r="V23" s="238"/>
      <c r="W23" s="238"/>
      <c r="X23" s="238"/>
      <c r="Y23" s="238"/>
      <c r="Z23" s="238"/>
      <c r="AA23" s="238"/>
      <c r="AB23" s="238"/>
      <c r="AC23" s="239"/>
    </row>
    <row r="24" spans="2:29" ht="45" customHeight="1" x14ac:dyDescent="0.2">
      <c r="B24" s="86" t="s">
        <v>77</v>
      </c>
      <c r="C24" s="88" t="s">
        <v>164</v>
      </c>
      <c r="D24" s="241"/>
      <c r="E24" s="243" t="s">
        <v>614</v>
      </c>
      <c r="F24" s="92" t="s">
        <v>536</v>
      </c>
      <c r="G24" s="92" t="s">
        <v>69</v>
      </c>
      <c r="H24" s="92">
        <v>2024</v>
      </c>
      <c r="I24" s="92">
        <v>2026</v>
      </c>
      <c r="J24" s="237">
        <v>4653950</v>
      </c>
      <c r="K24" s="237">
        <v>0</v>
      </c>
      <c r="L24" s="238">
        <f t="shared" si="13"/>
        <v>4653950</v>
      </c>
      <c r="M24" s="237">
        <v>4653950</v>
      </c>
      <c r="N24" s="237">
        <v>0</v>
      </c>
      <c r="O24" s="238">
        <f t="shared" ref="O24:O27" si="16">M24+N24</f>
        <v>4653950</v>
      </c>
      <c r="P24" s="237">
        <v>4653950</v>
      </c>
      <c r="Q24" s="237">
        <v>0</v>
      </c>
      <c r="R24" s="238">
        <f t="shared" ref="R24:R27" si="17">P24+Q24</f>
        <v>4653950</v>
      </c>
      <c r="S24" s="238">
        <f>J24+M24+P24</f>
        <v>13961850</v>
      </c>
      <c r="T24" s="238">
        <f t="shared" si="4"/>
        <v>0</v>
      </c>
      <c r="U24" s="238">
        <f>S24+T24</f>
        <v>13961850</v>
      </c>
      <c r="V24" s="238">
        <f t="shared" si="6"/>
        <v>13961850</v>
      </c>
      <c r="W24" s="238">
        <f t="shared" si="7"/>
        <v>0</v>
      </c>
      <c r="X24" s="238">
        <f t="shared" si="8"/>
        <v>13961850</v>
      </c>
      <c r="Y24" s="238">
        <v>0</v>
      </c>
      <c r="Z24" s="238">
        <v>0</v>
      </c>
      <c r="AA24" s="238"/>
      <c r="AB24" s="238">
        <f t="shared" si="9"/>
        <v>0</v>
      </c>
      <c r="AC24" s="239">
        <f t="shared" si="10"/>
        <v>0</v>
      </c>
    </row>
    <row r="25" spans="2:29" ht="45" customHeight="1" x14ac:dyDescent="0.2">
      <c r="B25" s="86" t="s">
        <v>78</v>
      </c>
      <c r="C25" s="88" t="s">
        <v>165</v>
      </c>
      <c r="D25" s="241"/>
      <c r="E25" s="243" t="s">
        <v>614</v>
      </c>
      <c r="F25" s="92" t="s">
        <v>536</v>
      </c>
      <c r="G25" s="92" t="s">
        <v>69</v>
      </c>
      <c r="H25" s="92">
        <v>2024</v>
      </c>
      <c r="I25" s="92">
        <v>2026</v>
      </c>
      <c r="J25" s="237">
        <v>438100</v>
      </c>
      <c r="K25" s="237">
        <v>0</v>
      </c>
      <c r="L25" s="238">
        <f t="shared" si="13"/>
        <v>438100</v>
      </c>
      <c r="M25" s="237">
        <v>438100</v>
      </c>
      <c r="N25" s="237">
        <v>0</v>
      </c>
      <c r="O25" s="238">
        <f t="shared" si="16"/>
        <v>438100</v>
      </c>
      <c r="P25" s="237">
        <v>438100</v>
      </c>
      <c r="Q25" s="237">
        <v>0</v>
      </c>
      <c r="R25" s="238">
        <f t="shared" si="17"/>
        <v>438100</v>
      </c>
      <c r="S25" s="238">
        <f t="shared" ref="S25:S27" si="18">J25+M25+P25</f>
        <v>1314300</v>
      </c>
      <c r="T25" s="238">
        <f t="shared" si="4"/>
        <v>0</v>
      </c>
      <c r="U25" s="238">
        <f t="shared" ref="U25:U27" si="19">S25+T25</f>
        <v>1314300</v>
      </c>
      <c r="V25" s="238">
        <f t="shared" si="6"/>
        <v>1314300</v>
      </c>
      <c r="W25" s="238">
        <f t="shared" si="7"/>
        <v>0</v>
      </c>
      <c r="X25" s="238">
        <f t="shared" si="8"/>
        <v>1314300</v>
      </c>
      <c r="Y25" s="238">
        <v>0</v>
      </c>
      <c r="Z25" s="238">
        <v>0</v>
      </c>
      <c r="AA25" s="238"/>
      <c r="AB25" s="238">
        <f t="shared" si="9"/>
        <v>0</v>
      </c>
      <c r="AC25" s="239">
        <f t="shared" si="10"/>
        <v>0</v>
      </c>
    </row>
    <row r="26" spans="2:29" ht="45" customHeight="1" x14ac:dyDescent="0.2">
      <c r="B26" s="86" t="s">
        <v>166</v>
      </c>
      <c r="C26" s="88" t="s">
        <v>492</v>
      </c>
      <c r="D26" s="241"/>
      <c r="E26" s="243" t="s">
        <v>614</v>
      </c>
      <c r="F26" s="92" t="s">
        <v>536</v>
      </c>
      <c r="G26" s="92" t="s">
        <v>69</v>
      </c>
      <c r="H26" s="92">
        <v>2024</v>
      </c>
      <c r="I26" s="92">
        <v>2026</v>
      </c>
      <c r="J26" s="237">
        <v>1977600</v>
      </c>
      <c r="K26" s="237">
        <v>0</v>
      </c>
      <c r="L26" s="238">
        <f t="shared" si="13"/>
        <v>1977600</v>
      </c>
      <c r="M26" s="237">
        <v>1977600</v>
      </c>
      <c r="N26" s="237">
        <v>0</v>
      </c>
      <c r="O26" s="238">
        <f t="shared" si="16"/>
        <v>1977600</v>
      </c>
      <c r="P26" s="237">
        <v>1977600</v>
      </c>
      <c r="Q26" s="237">
        <v>0</v>
      </c>
      <c r="R26" s="238">
        <f t="shared" si="17"/>
        <v>1977600</v>
      </c>
      <c r="S26" s="238">
        <f t="shared" si="18"/>
        <v>5932800</v>
      </c>
      <c r="T26" s="238">
        <f t="shared" si="4"/>
        <v>0</v>
      </c>
      <c r="U26" s="238">
        <f t="shared" si="19"/>
        <v>5932800</v>
      </c>
      <c r="V26" s="238">
        <f t="shared" si="6"/>
        <v>5932800</v>
      </c>
      <c r="W26" s="238">
        <f t="shared" si="7"/>
        <v>0</v>
      </c>
      <c r="X26" s="238">
        <f t="shared" si="8"/>
        <v>5932800</v>
      </c>
      <c r="Y26" s="238">
        <v>0</v>
      </c>
      <c r="Z26" s="238">
        <v>0</v>
      </c>
      <c r="AA26" s="238"/>
      <c r="AB26" s="238">
        <f t="shared" si="9"/>
        <v>0</v>
      </c>
      <c r="AC26" s="239">
        <f t="shared" si="10"/>
        <v>0</v>
      </c>
    </row>
    <row r="27" spans="2:29" ht="45" customHeight="1" x14ac:dyDescent="0.2">
      <c r="B27" s="86" t="s">
        <v>167</v>
      </c>
      <c r="C27" s="88" t="s">
        <v>168</v>
      </c>
      <c r="D27" s="241"/>
      <c r="E27" s="243" t="s">
        <v>614</v>
      </c>
      <c r="F27" s="92" t="s">
        <v>536</v>
      </c>
      <c r="G27" s="92" t="s">
        <v>69</v>
      </c>
      <c r="H27" s="92">
        <v>2024</v>
      </c>
      <c r="I27" s="92">
        <v>2026</v>
      </c>
      <c r="J27" s="237">
        <v>869170</v>
      </c>
      <c r="K27" s="237">
        <v>0</v>
      </c>
      <c r="L27" s="238">
        <f t="shared" si="13"/>
        <v>869170</v>
      </c>
      <c r="M27" s="237">
        <v>869170</v>
      </c>
      <c r="N27" s="237">
        <v>0</v>
      </c>
      <c r="O27" s="238">
        <f t="shared" si="16"/>
        <v>869170</v>
      </c>
      <c r="P27" s="237">
        <v>869170</v>
      </c>
      <c r="Q27" s="237">
        <v>0</v>
      </c>
      <c r="R27" s="238">
        <f t="shared" si="17"/>
        <v>869170</v>
      </c>
      <c r="S27" s="238">
        <f t="shared" si="18"/>
        <v>2607510</v>
      </c>
      <c r="T27" s="238">
        <f t="shared" si="4"/>
        <v>0</v>
      </c>
      <c r="U27" s="238">
        <f t="shared" si="19"/>
        <v>2607510</v>
      </c>
      <c r="V27" s="238">
        <f t="shared" si="6"/>
        <v>2607510</v>
      </c>
      <c r="W27" s="238">
        <f t="shared" si="7"/>
        <v>0</v>
      </c>
      <c r="X27" s="238">
        <f t="shared" si="8"/>
        <v>2607510</v>
      </c>
      <c r="Y27" s="238">
        <v>0</v>
      </c>
      <c r="Z27" s="238">
        <v>0</v>
      </c>
      <c r="AA27" s="238"/>
      <c r="AB27" s="238">
        <f t="shared" si="9"/>
        <v>0</v>
      </c>
      <c r="AC27" s="239">
        <f t="shared" si="10"/>
        <v>0</v>
      </c>
    </row>
    <row r="28" spans="2:29" s="6" customFormat="1" ht="28.5" customHeight="1" x14ac:dyDescent="0.2">
      <c r="B28" s="250"/>
      <c r="C28" s="251" t="s">
        <v>45</v>
      </c>
      <c r="D28" s="252"/>
      <c r="E28" s="252"/>
      <c r="F28" s="252"/>
      <c r="G28" s="252"/>
      <c r="H28" s="252"/>
      <c r="I28" s="252"/>
      <c r="J28" s="253">
        <f t="shared" ref="J28:AC28" si="20">SUM(J11:J27)</f>
        <v>606143748</v>
      </c>
      <c r="K28" s="253">
        <f t="shared" si="20"/>
        <v>0</v>
      </c>
      <c r="L28" s="253">
        <f t="shared" si="20"/>
        <v>606143748</v>
      </c>
      <c r="M28" s="253">
        <f t="shared" si="20"/>
        <v>616306260.5454545</v>
      </c>
      <c r="N28" s="253">
        <f t="shared" si="20"/>
        <v>0</v>
      </c>
      <c r="O28" s="253">
        <f t="shared" si="20"/>
        <v>616306260.5454545</v>
      </c>
      <c r="P28" s="253">
        <f t="shared" si="20"/>
        <v>624992170</v>
      </c>
      <c r="Q28" s="253">
        <f t="shared" si="20"/>
        <v>0</v>
      </c>
      <c r="R28" s="253">
        <f t="shared" si="20"/>
        <v>624992170</v>
      </c>
      <c r="S28" s="253">
        <f t="shared" si="20"/>
        <v>1847442178.5454545</v>
      </c>
      <c r="T28" s="253">
        <f t="shared" si="20"/>
        <v>0</v>
      </c>
      <c r="U28" s="253">
        <f>SUM(U11:U27)</f>
        <v>1847442178.5454545</v>
      </c>
      <c r="V28" s="253">
        <f>SUM(V11:V27)</f>
        <v>1847442178.5454545</v>
      </c>
      <c r="W28" s="253">
        <f t="shared" si="20"/>
        <v>0</v>
      </c>
      <c r="X28" s="253">
        <f>SUM(X11:X27)</f>
        <v>1847442178.5454545</v>
      </c>
      <c r="Y28" s="253">
        <f t="shared" si="20"/>
        <v>0</v>
      </c>
      <c r="Z28" s="253">
        <f t="shared" si="20"/>
        <v>0</v>
      </c>
      <c r="AA28" s="253">
        <f t="shared" si="20"/>
        <v>0</v>
      </c>
      <c r="AB28" s="253">
        <f t="shared" si="20"/>
        <v>0</v>
      </c>
      <c r="AC28" s="254">
        <f t="shared" si="20"/>
        <v>0</v>
      </c>
    </row>
    <row r="29" spans="2:29" ht="49.5" customHeight="1" x14ac:dyDescent="0.2">
      <c r="B29" s="86"/>
      <c r="C29" s="255" t="s">
        <v>169</v>
      </c>
      <c r="D29" s="241"/>
      <c r="E29" s="141"/>
      <c r="F29" s="92"/>
      <c r="G29" s="93"/>
      <c r="H29" s="92"/>
      <c r="I29" s="92"/>
      <c r="J29" s="237"/>
      <c r="K29" s="237"/>
      <c r="L29" s="238"/>
      <c r="M29" s="237"/>
      <c r="N29" s="237"/>
      <c r="O29" s="238"/>
      <c r="P29" s="237"/>
      <c r="Q29" s="237"/>
      <c r="R29" s="238"/>
      <c r="S29" s="238"/>
      <c r="T29" s="238"/>
      <c r="U29" s="238"/>
      <c r="V29" s="238"/>
      <c r="W29" s="238"/>
      <c r="X29" s="238"/>
      <c r="Y29" s="96"/>
      <c r="Z29" s="238"/>
      <c r="AA29" s="256"/>
      <c r="AB29" s="238"/>
      <c r="AC29" s="239"/>
    </row>
    <row r="30" spans="2:29" ht="31.5" customHeight="1" x14ac:dyDescent="0.2">
      <c r="B30" s="86"/>
      <c r="C30" s="90" t="s">
        <v>493</v>
      </c>
      <c r="D30" s="241"/>
      <c r="E30" s="141"/>
      <c r="F30" s="92"/>
      <c r="G30" s="94"/>
      <c r="H30" s="92"/>
      <c r="I30" s="92"/>
      <c r="J30" s="237"/>
      <c r="K30" s="237"/>
      <c r="L30" s="238"/>
      <c r="M30" s="237"/>
      <c r="N30" s="237"/>
      <c r="O30" s="238"/>
      <c r="P30" s="237"/>
      <c r="Q30" s="237"/>
      <c r="R30" s="238"/>
      <c r="S30" s="238"/>
      <c r="T30" s="238"/>
      <c r="U30" s="238"/>
      <c r="V30" s="238"/>
      <c r="W30" s="238"/>
      <c r="X30" s="238"/>
      <c r="Y30" s="96"/>
      <c r="Z30" s="238"/>
      <c r="AA30" s="256"/>
      <c r="AB30" s="238"/>
      <c r="AC30" s="239">
        <f>U30-X30-AB30</f>
        <v>0</v>
      </c>
    </row>
    <row r="31" spans="2:29" ht="67.5" customHeight="1" x14ac:dyDescent="0.2">
      <c r="B31" s="86" t="s">
        <v>5</v>
      </c>
      <c r="C31" s="141" t="s">
        <v>494</v>
      </c>
      <c r="D31" s="241"/>
      <c r="E31" s="257" t="s">
        <v>473</v>
      </c>
      <c r="F31" s="92" t="s">
        <v>383</v>
      </c>
      <c r="G31" s="94" t="s">
        <v>544</v>
      </c>
      <c r="H31" s="92">
        <v>2024</v>
      </c>
      <c r="I31" s="92">
        <v>2026</v>
      </c>
      <c r="J31" s="237">
        <v>7778600</v>
      </c>
      <c r="K31" s="237">
        <v>0</v>
      </c>
      <c r="L31" s="238">
        <f t="shared" ref="L31:L73" si="21">J31+K31</f>
        <v>7778600</v>
      </c>
      <c r="M31" s="237">
        <v>7778600</v>
      </c>
      <c r="N31" s="237">
        <v>0</v>
      </c>
      <c r="O31" s="238">
        <f t="shared" ref="O31:O42" si="22">M31+N31</f>
        <v>7778600</v>
      </c>
      <c r="P31" s="237">
        <v>7778600</v>
      </c>
      <c r="Q31" s="237">
        <v>0</v>
      </c>
      <c r="R31" s="238">
        <f>P31+Q31</f>
        <v>7778600</v>
      </c>
      <c r="S31" s="238">
        <f>J31+M31+P31</f>
        <v>23335800</v>
      </c>
      <c r="T31" s="238">
        <f>K31+N31+Q31</f>
        <v>0</v>
      </c>
      <c r="U31" s="238">
        <f>S31+T31</f>
        <v>23335800</v>
      </c>
      <c r="V31" s="238">
        <f>S31</f>
        <v>23335800</v>
      </c>
      <c r="W31" s="238">
        <f>T31</f>
        <v>0</v>
      </c>
      <c r="X31" s="238">
        <f>V31+W31</f>
        <v>23335800</v>
      </c>
      <c r="Y31" s="96">
        <v>0</v>
      </c>
      <c r="Z31" s="238">
        <v>0</v>
      </c>
      <c r="AA31" s="256"/>
      <c r="AB31" s="238">
        <f>Y31+Z31</f>
        <v>0</v>
      </c>
      <c r="AC31" s="239">
        <f t="shared" ref="AC31:AC75" si="23">U31-X31-AB31</f>
        <v>0</v>
      </c>
    </row>
    <row r="32" spans="2:29" ht="81" customHeight="1" x14ac:dyDescent="0.2">
      <c r="B32" s="86" t="s">
        <v>6</v>
      </c>
      <c r="C32" s="88" t="s">
        <v>442</v>
      </c>
      <c r="D32" s="241"/>
      <c r="E32" s="258" t="s">
        <v>615</v>
      </c>
      <c r="F32" s="92" t="s">
        <v>496</v>
      </c>
      <c r="G32" s="95" t="s">
        <v>543</v>
      </c>
      <c r="H32" s="92">
        <v>2024</v>
      </c>
      <c r="I32" s="92">
        <v>2026</v>
      </c>
      <c r="J32" s="237">
        <v>115752</v>
      </c>
      <c r="K32" s="237">
        <v>0</v>
      </c>
      <c r="L32" s="238">
        <f t="shared" si="21"/>
        <v>115752</v>
      </c>
      <c r="M32" s="237">
        <v>115752</v>
      </c>
      <c r="N32" s="259">
        <v>0</v>
      </c>
      <c r="O32" s="238">
        <f t="shared" si="22"/>
        <v>115752</v>
      </c>
      <c r="P32" s="237">
        <v>115752</v>
      </c>
      <c r="Q32" s="259">
        <v>0</v>
      </c>
      <c r="R32" s="238">
        <f t="shared" ref="R32:R42" si="24">P32+Q32</f>
        <v>115752</v>
      </c>
      <c r="S32" s="238">
        <f t="shared" ref="S32:S42" si="25">J32+M32+P32</f>
        <v>347256</v>
      </c>
      <c r="T32" s="238">
        <f t="shared" ref="T32:T42" si="26">K32+N32+Q32</f>
        <v>0</v>
      </c>
      <c r="U32" s="238">
        <f t="shared" ref="U32:U42" si="27">S32+T32</f>
        <v>347256</v>
      </c>
      <c r="V32" s="238">
        <f t="shared" ref="V32:V42" si="28">S32</f>
        <v>347256</v>
      </c>
      <c r="W32" s="238">
        <f t="shared" ref="W32:W42" si="29">T32</f>
        <v>0</v>
      </c>
      <c r="X32" s="238">
        <f t="shared" ref="X32:X42" si="30">V32+W32</f>
        <v>347256</v>
      </c>
      <c r="Y32" s="96">
        <v>0</v>
      </c>
      <c r="Z32" s="238">
        <v>0</v>
      </c>
      <c r="AA32" s="256"/>
      <c r="AB32" s="238">
        <f t="shared" ref="AB32:AB79" si="31">Y32+Z32</f>
        <v>0</v>
      </c>
      <c r="AC32" s="239">
        <f t="shared" si="23"/>
        <v>0</v>
      </c>
    </row>
    <row r="33" spans="2:29" ht="65.25" customHeight="1" x14ac:dyDescent="0.2">
      <c r="B33" s="86" t="s">
        <v>16</v>
      </c>
      <c r="C33" s="88" t="s">
        <v>170</v>
      </c>
      <c r="D33" s="241"/>
      <c r="E33" s="257" t="s">
        <v>481</v>
      </c>
      <c r="F33" s="103" t="s">
        <v>485</v>
      </c>
      <c r="G33" s="94" t="s">
        <v>542</v>
      </c>
      <c r="H33" s="92">
        <v>2024</v>
      </c>
      <c r="I33" s="92">
        <v>2026</v>
      </c>
      <c r="J33" s="237">
        <f>5*4*176000/22</f>
        <v>160000</v>
      </c>
      <c r="K33" s="260">
        <v>0</v>
      </c>
      <c r="L33" s="238">
        <f t="shared" si="21"/>
        <v>160000</v>
      </c>
      <c r="M33" s="260">
        <f>(J33*1.05)</f>
        <v>168000</v>
      </c>
      <c r="N33" s="260">
        <v>0</v>
      </c>
      <c r="O33" s="238">
        <f t="shared" si="22"/>
        <v>168000</v>
      </c>
      <c r="P33" s="260">
        <f>M33*1.05</f>
        <v>176400</v>
      </c>
      <c r="Q33" s="260">
        <v>0</v>
      </c>
      <c r="R33" s="238">
        <f t="shared" si="24"/>
        <v>176400</v>
      </c>
      <c r="S33" s="238">
        <f t="shared" si="25"/>
        <v>504400</v>
      </c>
      <c r="T33" s="238">
        <f t="shared" si="26"/>
        <v>0</v>
      </c>
      <c r="U33" s="238">
        <f t="shared" si="27"/>
        <v>504400</v>
      </c>
      <c r="V33" s="238">
        <f t="shared" si="28"/>
        <v>504400</v>
      </c>
      <c r="W33" s="238">
        <f t="shared" si="29"/>
        <v>0</v>
      </c>
      <c r="X33" s="238">
        <f t="shared" si="30"/>
        <v>504400</v>
      </c>
      <c r="Y33" s="96">
        <v>0</v>
      </c>
      <c r="Z33" s="238">
        <v>0</v>
      </c>
      <c r="AA33" s="256"/>
      <c r="AB33" s="238">
        <f t="shared" si="31"/>
        <v>0</v>
      </c>
      <c r="AC33" s="242">
        <f t="shared" si="23"/>
        <v>0</v>
      </c>
    </row>
    <row r="34" spans="2:29" ht="57" customHeight="1" x14ac:dyDescent="0.2">
      <c r="B34" s="86" t="s">
        <v>171</v>
      </c>
      <c r="C34" s="88" t="s">
        <v>172</v>
      </c>
      <c r="D34" s="241"/>
      <c r="E34" s="235" t="s">
        <v>628</v>
      </c>
      <c r="F34" s="92" t="s">
        <v>388</v>
      </c>
      <c r="G34" s="95" t="s">
        <v>541</v>
      </c>
      <c r="H34" s="92">
        <v>2024</v>
      </c>
      <c r="I34" s="92">
        <v>2026</v>
      </c>
      <c r="J34" s="237">
        <v>11000000</v>
      </c>
      <c r="K34" s="237">
        <v>0</v>
      </c>
      <c r="L34" s="238">
        <f t="shared" si="21"/>
        <v>11000000</v>
      </c>
      <c r="M34" s="237">
        <v>11000000</v>
      </c>
      <c r="N34" s="237">
        <v>0</v>
      </c>
      <c r="O34" s="238">
        <f t="shared" si="22"/>
        <v>11000000</v>
      </c>
      <c r="P34" s="237">
        <v>11000000</v>
      </c>
      <c r="Q34" s="237">
        <v>0</v>
      </c>
      <c r="R34" s="238">
        <f t="shared" si="24"/>
        <v>11000000</v>
      </c>
      <c r="S34" s="238">
        <f t="shared" si="25"/>
        <v>33000000</v>
      </c>
      <c r="T34" s="238">
        <f t="shared" si="26"/>
        <v>0</v>
      </c>
      <c r="U34" s="238">
        <f t="shared" si="27"/>
        <v>33000000</v>
      </c>
      <c r="V34" s="238">
        <f t="shared" si="28"/>
        <v>33000000</v>
      </c>
      <c r="W34" s="238">
        <f t="shared" si="29"/>
        <v>0</v>
      </c>
      <c r="X34" s="238">
        <f t="shared" si="30"/>
        <v>33000000</v>
      </c>
      <c r="Y34" s="96">
        <v>0</v>
      </c>
      <c r="Z34" s="238">
        <v>0</v>
      </c>
      <c r="AA34" s="256"/>
      <c r="AB34" s="238">
        <f t="shared" si="31"/>
        <v>0</v>
      </c>
      <c r="AC34" s="242">
        <f t="shared" si="23"/>
        <v>0</v>
      </c>
    </row>
    <row r="35" spans="2:29" ht="102.75" customHeight="1" x14ac:dyDescent="0.2">
      <c r="B35" s="86" t="s">
        <v>173</v>
      </c>
      <c r="C35" s="107" t="s">
        <v>174</v>
      </c>
      <c r="D35" s="236"/>
      <c r="E35" s="240" t="s">
        <v>629</v>
      </c>
      <c r="F35" s="103" t="s">
        <v>518</v>
      </c>
      <c r="G35" s="102" t="s">
        <v>390</v>
      </c>
      <c r="H35" s="103">
        <v>2024</v>
      </c>
      <c r="I35" s="103">
        <v>2026</v>
      </c>
      <c r="J35" s="237">
        <f>7320+705273</f>
        <v>712593</v>
      </c>
      <c r="K35" s="237">
        <v>0</v>
      </c>
      <c r="L35" s="238">
        <f t="shared" si="21"/>
        <v>712593</v>
      </c>
      <c r="M35" s="237">
        <f>7320+2029091</f>
        <v>2036411</v>
      </c>
      <c r="N35" s="237">
        <v>0</v>
      </c>
      <c r="O35" s="238">
        <f t="shared" si="22"/>
        <v>2036411</v>
      </c>
      <c r="P35" s="237">
        <f>7320</f>
        <v>7320</v>
      </c>
      <c r="Q35" s="237">
        <v>0</v>
      </c>
      <c r="R35" s="238">
        <f t="shared" si="24"/>
        <v>7320</v>
      </c>
      <c r="S35" s="238">
        <f t="shared" si="25"/>
        <v>2756324</v>
      </c>
      <c r="T35" s="238">
        <f t="shared" si="26"/>
        <v>0</v>
      </c>
      <c r="U35" s="238">
        <f t="shared" si="27"/>
        <v>2756324</v>
      </c>
      <c r="V35" s="238">
        <f t="shared" si="28"/>
        <v>2756324</v>
      </c>
      <c r="W35" s="238">
        <f t="shared" si="29"/>
        <v>0</v>
      </c>
      <c r="X35" s="238">
        <f t="shared" si="30"/>
        <v>2756324</v>
      </c>
      <c r="Y35" s="96">
        <v>0</v>
      </c>
      <c r="Z35" s="238">
        <v>0</v>
      </c>
      <c r="AA35" s="256"/>
      <c r="AB35" s="238">
        <f t="shared" si="31"/>
        <v>0</v>
      </c>
      <c r="AC35" s="242">
        <f t="shared" si="23"/>
        <v>0</v>
      </c>
    </row>
    <row r="36" spans="2:29" ht="60" customHeight="1" x14ac:dyDescent="0.2">
      <c r="B36" s="86" t="s">
        <v>175</v>
      </c>
      <c r="C36" s="107" t="s">
        <v>176</v>
      </c>
      <c r="D36" s="236"/>
      <c r="E36" s="261" t="s">
        <v>474</v>
      </c>
      <c r="F36" s="102" t="s">
        <v>383</v>
      </c>
      <c r="G36" s="102" t="s">
        <v>540</v>
      </c>
      <c r="H36" s="103">
        <v>2024</v>
      </c>
      <c r="I36" s="103">
        <v>2026</v>
      </c>
      <c r="J36" s="237">
        <v>6869700</v>
      </c>
      <c r="K36" s="237">
        <v>0</v>
      </c>
      <c r="L36" s="238">
        <f t="shared" si="21"/>
        <v>6869700</v>
      </c>
      <c r="M36" s="237">
        <v>6869700</v>
      </c>
      <c r="N36" s="237">
        <v>0</v>
      </c>
      <c r="O36" s="238">
        <f t="shared" si="22"/>
        <v>6869700</v>
      </c>
      <c r="P36" s="237">
        <v>6869700</v>
      </c>
      <c r="Q36" s="237">
        <v>0</v>
      </c>
      <c r="R36" s="238">
        <f t="shared" si="24"/>
        <v>6869700</v>
      </c>
      <c r="S36" s="238">
        <f t="shared" si="25"/>
        <v>20609100</v>
      </c>
      <c r="T36" s="238">
        <f t="shared" si="26"/>
        <v>0</v>
      </c>
      <c r="U36" s="238">
        <f t="shared" si="27"/>
        <v>20609100</v>
      </c>
      <c r="V36" s="238">
        <f t="shared" si="28"/>
        <v>20609100</v>
      </c>
      <c r="W36" s="238">
        <f t="shared" si="29"/>
        <v>0</v>
      </c>
      <c r="X36" s="238">
        <f t="shared" si="30"/>
        <v>20609100</v>
      </c>
      <c r="Y36" s="96">
        <v>0</v>
      </c>
      <c r="Z36" s="238">
        <v>0</v>
      </c>
      <c r="AA36" s="256"/>
      <c r="AB36" s="238">
        <f t="shared" si="31"/>
        <v>0</v>
      </c>
      <c r="AC36" s="242">
        <f t="shared" si="23"/>
        <v>0</v>
      </c>
    </row>
    <row r="37" spans="2:29" ht="87" customHeight="1" x14ac:dyDescent="0.2">
      <c r="B37" s="86" t="s">
        <v>177</v>
      </c>
      <c r="C37" s="107" t="s">
        <v>641</v>
      </c>
      <c r="D37" s="236"/>
      <c r="E37" s="262" t="s">
        <v>632</v>
      </c>
      <c r="F37" s="102" t="s">
        <v>391</v>
      </c>
      <c r="G37" s="102" t="s">
        <v>539</v>
      </c>
      <c r="H37" s="103">
        <v>2024</v>
      </c>
      <c r="I37" s="103">
        <v>2026</v>
      </c>
      <c r="J37" s="259">
        <v>1070000</v>
      </c>
      <c r="K37" s="259">
        <v>0</v>
      </c>
      <c r="L37" s="96">
        <f t="shared" si="21"/>
        <v>1070000</v>
      </c>
      <c r="M37" s="259">
        <v>1070000</v>
      </c>
      <c r="N37" s="259">
        <v>0</v>
      </c>
      <c r="O37" s="96">
        <f t="shared" si="22"/>
        <v>1070000</v>
      </c>
      <c r="P37" s="259">
        <v>1070000</v>
      </c>
      <c r="Q37" s="259">
        <v>0</v>
      </c>
      <c r="R37" s="238">
        <f t="shared" si="24"/>
        <v>1070000</v>
      </c>
      <c r="S37" s="238">
        <f t="shared" si="25"/>
        <v>3210000</v>
      </c>
      <c r="T37" s="238">
        <f t="shared" si="26"/>
        <v>0</v>
      </c>
      <c r="U37" s="238">
        <f t="shared" si="27"/>
        <v>3210000</v>
      </c>
      <c r="V37" s="238">
        <f t="shared" si="28"/>
        <v>3210000</v>
      </c>
      <c r="W37" s="238">
        <f t="shared" si="29"/>
        <v>0</v>
      </c>
      <c r="X37" s="238">
        <f t="shared" si="30"/>
        <v>3210000</v>
      </c>
      <c r="Y37" s="96">
        <v>0</v>
      </c>
      <c r="Z37" s="238">
        <v>0</v>
      </c>
      <c r="AA37" s="256"/>
      <c r="AB37" s="238">
        <f t="shared" si="31"/>
        <v>0</v>
      </c>
      <c r="AC37" s="242">
        <f t="shared" si="23"/>
        <v>0</v>
      </c>
    </row>
    <row r="38" spans="2:29" ht="63.75" customHeight="1" x14ac:dyDescent="0.2">
      <c r="B38" s="86" t="s">
        <v>178</v>
      </c>
      <c r="C38" s="107" t="s">
        <v>179</v>
      </c>
      <c r="D38" s="236"/>
      <c r="E38" s="240" t="s">
        <v>619</v>
      </c>
      <c r="F38" s="102" t="s">
        <v>443</v>
      </c>
      <c r="G38" s="108" t="s">
        <v>392</v>
      </c>
      <c r="H38" s="103">
        <v>2024</v>
      </c>
      <c r="I38" s="103">
        <v>2026</v>
      </c>
      <c r="J38" s="237">
        <v>102610</v>
      </c>
      <c r="K38" s="237">
        <v>0</v>
      </c>
      <c r="L38" s="238">
        <f t="shared" si="21"/>
        <v>102610</v>
      </c>
      <c r="M38" s="237">
        <v>102610</v>
      </c>
      <c r="N38" s="237">
        <v>0</v>
      </c>
      <c r="O38" s="238">
        <f t="shared" si="22"/>
        <v>102610</v>
      </c>
      <c r="P38" s="237">
        <v>102610</v>
      </c>
      <c r="Q38" s="237">
        <v>0</v>
      </c>
      <c r="R38" s="238">
        <f t="shared" si="24"/>
        <v>102610</v>
      </c>
      <c r="S38" s="238">
        <f t="shared" si="25"/>
        <v>307830</v>
      </c>
      <c r="T38" s="238">
        <f t="shared" si="26"/>
        <v>0</v>
      </c>
      <c r="U38" s="238">
        <f t="shared" si="27"/>
        <v>307830</v>
      </c>
      <c r="V38" s="238">
        <f t="shared" si="28"/>
        <v>307830</v>
      </c>
      <c r="W38" s="238">
        <f t="shared" si="29"/>
        <v>0</v>
      </c>
      <c r="X38" s="238">
        <f t="shared" si="30"/>
        <v>307830</v>
      </c>
      <c r="Y38" s="96">
        <v>0</v>
      </c>
      <c r="Z38" s="238">
        <v>0</v>
      </c>
      <c r="AA38" s="256"/>
      <c r="AB38" s="238">
        <f t="shared" si="31"/>
        <v>0</v>
      </c>
      <c r="AC38" s="242">
        <f t="shared" si="23"/>
        <v>0</v>
      </c>
    </row>
    <row r="39" spans="2:29" ht="60.75" customHeight="1" x14ac:dyDescent="0.2">
      <c r="B39" s="86" t="s">
        <v>180</v>
      </c>
      <c r="C39" s="107" t="s">
        <v>495</v>
      </c>
      <c r="D39" s="236"/>
      <c r="E39" s="103" t="s">
        <v>476</v>
      </c>
      <c r="F39" s="102" t="s">
        <v>383</v>
      </c>
      <c r="G39" s="108" t="s">
        <v>387</v>
      </c>
      <c r="H39" s="103">
        <v>2025</v>
      </c>
      <c r="I39" s="103">
        <v>2026</v>
      </c>
      <c r="J39" s="237">
        <v>61590700</v>
      </c>
      <c r="K39" s="237">
        <v>0</v>
      </c>
      <c r="L39" s="238">
        <f t="shared" si="21"/>
        <v>61590700</v>
      </c>
      <c r="M39" s="237">
        <v>61590700</v>
      </c>
      <c r="N39" s="237">
        <v>0</v>
      </c>
      <c r="O39" s="238">
        <f t="shared" si="22"/>
        <v>61590700</v>
      </c>
      <c r="P39" s="237">
        <v>61590700</v>
      </c>
      <c r="Q39" s="237">
        <v>0</v>
      </c>
      <c r="R39" s="238">
        <f t="shared" si="24"/>
        <v>61590700</v>
      </c>
      <c r="S39" s="238">
        <f t="shared" si="25"/>
        <v>184772100</v>
      </c>
      <c r="T39" s="238">
        <f t="shared" si="26"/>
        <v>0</v>
      </c>
      <c r="U39" s="238">
        <f t="shared" si="27"/>
        <v>184772100</v>
      </c>
      <c r="V39" s="238">
        <f t="shared" si="28"/>
        <v>184772100</v>
      </c>
      <c r="W39" s="238">
        <f t="shared" si="29"/>
        <v>0</v>
      </c>
      <c r="X39" s="238">
        <f t="shared" si="30"/>
        <v>184772100</v>
      </c>
      <c r="Y39" s="96">
        <v>0</v>
      </c>
      <c r="Z39" s="238">
        <v>0</v>
      </c>
      <c r="AA39" s="256"/>
      <c r="AB39" s="238">
        <f t="shared" si="31"/>
        <v>0</v>
      </c>
      <c r="AC39" s="242">
        <f t="shared" si="23"/>
        <v>0</v>
      </c>
    </row>
    <row r="40" spans="2:29" ht="62.25" customHeight="1" x14ac:dyDescent="0.2">
      <c r="B40" s="86" t="s">
        <v>181</v>
      </c>
      <c r="C40" s="107" t="s">
        <v>499</v>
      </c>
      <c r="D40" s="236"/>
      <c r="E40" s="103" t="s">
        <v>476</v>
      </c>
      <c r="F40" s="102" t="s">
        <v>383</v>
      </c>
      <c r="G40" s="108"/>
      <c r="H40" s="103">
        <v>2024</v>
      </c>
      <c r="I40" s="103">
        <v>2026</v>
      </c>
      <c r="J40" s="237">
        <v>79897900</v>
      </c>
      <c r="K40" s="237">
        <v>0</v>
      </c>
      <c r="L40" s="238">
        <f t="shared" si="21"/>
        <v>79897900</v>
      </c>
      <c r="M40" s="237">
        <v>79897900</v>
      </c>
      <c r="N40" s="237">
        <v>0</v>
      </c>
      <c r="O40" s="238">
        <f t="shared" si="22"/>
        <v>79897900</v>
      </c>
      <c r="P40" s="237">
        <v>79897900</v>
      </c>
      <c r="Q40" s="237">
        <v>0</v>
      </c>
      <c r="R40" s="238">
        <f t="shared" si="24"/>
        <v>79897900</v>
      </c>
      <c r="S40" s="238">
        <f t="shared" si="25"/>
        <v>239693700</v>
      </c>
      <c r="T40" s="238">
        <f t="shared" si="26"/>
        <v>0</v>
      </c>
      <c r="U40" s="238">
        <f t="shared" si="27"/>
        <v>239693700</v>
      </c>
      <c r="V40" s="238">
        <f t="shared" si="28"/>
        <v>239693700</v>
      </c>
      <c r="W40" s="238">
        <f t="shared" si="29"/>
        <v>0</v>
      </c>
      <c r="X40" s="238">
        <f t="shared" si="30"/>
        <v>239693700</v>
      </c>
      <c r="Y40" s="96">
        <v>0</v>
      </c>
      <c r="Z40" s="238">
        <v>0</v>
      </c>
      <c r="AA40" s="256"/>
      <c r="AB40" s="238">
        <f t="shared" si="31"/>
        <v>0</v>
      </c>
      <c r="AC40" s="242">
        <f t="shared" si="23"/>
        <v>0</v>
      </c>
    </row>
    <row r="41" spans="2:29" ht="76.5" customHeight="1" x14ac:dyDescent="0.2">
      <c r="B41" s="86" t="s">
        <v>182</v>
      </c>
      <c r="C41" s="107" t="s">
        <v>498</v>
      </c>
      <c r="D41" s="236"/>
      <c r="E41" s="103" t="s">
        <v>476</v>
      </c>
      <c r="F41" s="103" t="s">
        <v>496</v>
      </c>
      <c r="G41" s="102" t="s">
        <v>497</v>
      </c>
      <c r="H41" s="103">
        <v>2024</v>
      </c>
      <c r="I41" s="103">
        <v>2026</v>
      </c>
      <c r="J41" s="237">
        <f>14279540/3</f>
        <v>4759846.666666667</v>
      </c>
      <c r="K41" s="237">
        <v>0</v>
      </c>
      <c r="L41" s="238">
        <f t="shared" si="21"/>
        <v>4759846.666666667</v>
      </c>
      <c r="M41" s="237">
        <f>14279540/3</f>
        <v>4759846.666666667</v>
      </c>
      <c r="N41" s="259">
        <v>0</v>
      </c>
      <c r="O41" s="96">
        <f t="shared" si="22"/>
        <v>4759846.666666667</v>
      </c>
      <c r="P41" s="259">
        <f>14279540/3</f>
        <v>4759846.666666667</v>
      </c>
      <c r="Q41" s="259">
        <v>0</v>
      </c>
      <c r="R41" s="238">
        <f t="shared" si="24"/>
        <v>4759846.666666667</v>
      </c>
      <c r="S41" s="238">
        <f t="shared" si="25"/>
        <v>14279540</v>
      </c>
      <c r="T41" s="238">
        <f t="shared" si="26"/>
        <v>0</v>
      </c>
      <c r="U41" s="238">
        <f t="shared" si="27"/>
        <v>14279540</v>
      </c>
      <c r="V41" s="238">
        <f t="shared" si="28"/>
        <v>14279540</v>
      </c>
      <c r="W41" s="238">
        <f t="shared" si="29"/>
        <v>0</v>
      </c>
      <c r="X41" s="238">
        <f t="shared" si="30"/>
        <v>14279540</v>
      </c>
      <c r="Y41" s="96">
        <v>0</v>
      </c>
      <c r="Z41" s="238">
        <v>0</v>
      </c>
      <c r="AA41" s="256"/>
      <c r="AB41" s="238">
        <f t="shared" si="31"/>
        <v>0</v>
      </c>
      <c r="AC41" s="242">
        <f t="shared" si="23"/>
        <v>0</v>
      </c>
    </row>
    <row r="42" spans="2:29" ht="67.5" customHeight="1" x14ac:dyDescent="0.2">
      <c r="B42" s="86" t="s">
        <v>183</v>
      </c>
      <c r="C42" s="107" t="s">
        <v>500</v>
      </c>
      <c r="D42" s="101"/>
      <c r="E42" s="103" t="s">
        <v>476</v>
      </c>
      <c r="F42" s="103" t="s">
        <v>383</v>
      </c>
      <c r="G42" s="102" t="s">
        <v>386</v>
      </c>
      <c r="H42" s="103">
        <v>2024</v>
      </c>
      <c r="I42" s="103">
        <v>2026</v>
      </c>
      <c r="J42" s="237">
        <v>2368227.2727272729</v>
      </c>
      <c r="K42" s="237">
        <v>0</v>
      </c>
      <c r="L42" s="238">
        <f t="shared" si="21"/>
        <v>2368227.2727272729</v>
      </c>
      <c r="M42" s="237">
        <v>2368227.2727272729</v>
      </c>
      <c r="N42" s="237">
        <v>0</v>
      </c>
      <c r="O42" s="238">
        <f t="shared" si="22"/>
        <v>2368227.2727272729</v>
      </c>
      <c r="P42" s="237">
        <v>2368227.2727272729</v>
      </c>
      <c r="Q42" s="237">
        <v>0</v>
      </c>
      <c r="R42" s="238">
        <f t="shared" si="24"/>
        <v>2368227.2727272729</v>
      </c>
      <c r="S42" s="238">
        <f t="shared" si="25"/>
        <v>7104681.8181818184</v>
      </c>
      <c r="T42" s="238">
        <f t="shared" si="26"/>
        <v>0</v>
      </c>
      <c r="U42" s="238">
        <f t="shared" si="27"/>
        <v>7104681.8181818184</v>
      </c>
      <c r="V42" s="238">
        <f t="shared" si="28"/>
        <v>7104681.8181818184</v>
      </c>
      <c r="W42" s="238">
        <f t="shared" si="29"/>
        <v>0</v>
      </c>
      <c r="X42" s="238">
        <f t="shared" si="30"/>
        <v>7104681.8181818184</v>
      </c>
      <c r="Y42" s="96">
        <v>0</v>
      </c>
      <c r="Z42" s="238">
        <v>0</v>
      </c>
      <c r="AA42" s="256"/>
      <c r="AB42" s="238">
        <f t="shared" si="31"/>
        <v>0</v>
      </c>
      <c r="AC42" s="242">
        <f t="shared" si="23"/>
        <v>0</v>
      </c>
    </row>
    <row r="43" spans="2:29" ht="31.5" customHeight="1" x14ac:dyDescent="0.2">
      <c r="B43" s="100"/>
      <c r="C43" s="109" t="s">
        <v>184</v>
      </c>
      <c r="D43" s="101"/>
      <c r="E43" s="103"/>
      <c r="F43" s="103"/>
      <c r="G43" s="103"/>
      <c r="H43" s="103"/>
      <c r="I43" s="103"/>
      <c r="J43" s="237"/>
      <c r="K43" s="237"/>
      <c r="L43" s="96"/>
      <c r="M43" s="237"/>
      <c r="N43" s="237"/>
      <c r="O43" s="96"/>
      <c r="P43" s="237"/>
      <c r="Q43" s="96"/>
      <c r="R43" s="96"/>
      <c r="S43" s="96"/>
      <c r="T43" s="96"/>
      <c r="U43" s="96"/>
      <c r="V43" s="96"/>
      <c r="W43" s="96"/>
      <c r="X43" s="96"/>
      <c r="Y43" s="96">
        <v>0</v>
      </c>
      <c r="Z43" s="238">
        <v>0</v>
      </c>
      <c r="AA43" s="256"/>
      <c r="AB43" s="238">
        <f t="shared" si="31"/>
        <v>0</v>
      </c>
      <c r="AC43" s="242">
        <f t="shared" si="23"/>
        <v>0</v>
      </c>
    </row>
    <row r="44" spans="2:29" ht="108.75" customHeight="1" x14ac:dyDescent="0.2">
      <c r="B44" s="100" t="s">
        <v>7</v>
      </c>
      <c r="C44" s="110" t="s">
        <v>185</v>
      </c>
      <c r="D44" s="101"/>
      <c r="E44" s="240" t="s">
        <v>630</v>
      </c>
      <c r="F44" s="103" t="s">
        <v>517</v>
      </c>
      <c r="G44" s="103" t="s">
        <v>393</v>
      </c>
      <c r="H44" s="103">
        <v>2024</v>
      </c>
      <c r="I44" s="103">
        <v>2026</v>
      </c>
      <c r="J44" s="237">
        <f>29280+795818</f>
        <v>825098</v>
      </c>
      <c r="K44" s="237">
        <v>0</v>
      </c>
      <c r="L44" s="96">
        <f t="shared" si="21"/>
        <v>825098</v>
      </c>
      <c r="M44" s="237">
        <f>29280+2029091</f>
        <v>2058371</v>
      </c>
      <c r="N44" s="237">
        <v>0</v>
      </c>
      <c r="O44" s="96">
        <f t="shared" ref="O44:O45" si="32">M44+N44</f>
        <v>2058371</v>
      </c>
      <c r="P44" s="237">
        <v>29280</v>
      </c>
      <c r="Q44" s="237">
        <v>0</v>
      </c>
      <c r="R44" s="96">
        <f t="shared" ref="R44:R45" si="33">P44+Q44</f>
        <v>29280</v>
      </c>
      <c r="S44" s="238">
        <f t="shared" ref="S44" si="34">J44+M44+P44</f>
        <v>2912749</v>
      </c>
      <c r="T44" s="238">
        <f t="shared" ref="T44" si="35">K44+N44+Q44</f>
        <v>0</v>
      </c>
      <c r="U44" s="238">
        <f t="shared" ref="U44" si="36">S44+T44</f>
        <v>2912749</v>
      </c>
      <c r="V44" s="238">
        <f t="shared" ref="V44" si="37">S44</f>
        <v>2912749</v>
      </c>
      <c r="W44" s="238">
        <f t="shared" ref="W44" si="38">T44</f>
        <v>0</v>
      </c>
      <c r="X44" s="238">
        <f t="shared" ref="X44" si="39">V44+W44</f>
        <v>2912749</v>
      </c>
      <c r="Y44" s="96">
        <v>0</v>
      </c>
      <c r="Z44" s="238">
        <v>0</v>
      </c>
      <c r="AA44" s="256"/>
      <c r="AB44" s="238">
        <f t="shared" si="31"/>
        <v>0</v>
      </c>
      <c r="AC44" s="242">
        <f t="shared" si="23"/>
        <v>0</v>
      </c>
    </row>
    <row r="45" spans="2:29" ht="72.75" customHeight="1" x14ac:dyDescent="0.2">
      <c r="B45" s="100" t="s">
        <v>8</v>
      </c>
      <c r="C45" s="110" t="s">
        <v>642</v>
      </c>
      <c r="D45" s="101"/>
      <c r="E45" s="240" t="s">
        <v>632</v>
      </c>
      <c r="F45" s="103" t="s">
        <v>391</v>
      </c>
      <c r="G45" s="103" t="s">
        <v>538</v>
      </c>
      <c r="H45" s="103">
        <v>2024</v>
      </c>
      <c r="I45" s="103">
        <v>2026</v>
      </c>
      <c r="J45" s="259">
        <v>1070000</v>
      </c>
      <c r="K45" s="259">
        <v>0</v>
      </c>
      <c r="L45" s="96">
        <f t="shared" si="21"/>
        <v>1070000</v>
      </c>
      <c r="M45" s="259">
        <v>1070000</v>
      </c>
      <c r="N45" s="259">
        <v>0</v>
      </c>
      <c r="O45" s="96">
        <f t="shared" si="32"/>
        <v>1070000</v>
      </c>
      <c r="P45" s="259">
        <v>1070000</v>
      </c>
      <c r="Q45" s="259">
        <v>0</v>
      </c>
      <c r="R45" s="96">
        <f t="shared" si="33"/>
        <v>1070000</v>
      </c>
      <c r="S45" s="238">
        <f t="shared" ref="S45:S56" si="40">J45+M45+P45</f>
        <v>3210000</v>
      </c>
      <c r="T45" s="238">
        <f t="shared" ref="T45:T56" si="41">K45+N45+Q45</f>
        <v>0</v>
      </c>
      <c r="U45" s="238">
        <f t="shared" ref="U45:U56" si="42">S45+T45</f>
        <v>3210000</v>
      </c>
      <c r="V45" s="238">
        <f t="shared" ref="V45:V56" si="43">S45</f>
        <v>3210000</v>
      </c>
      <c r="W45" s="238">
        <f t="shared" ref="W45:W56" si="44">T45</f>
        <v>0</v>
      </c>
      <c r="X45" s="238">
        <f t="shared" ref="X45:X56" si="45">V45+W45</f>
        <v>3210000</v>
      </c>
      <c r="Y45" s="96">
        <v>0</v>
      </c>
      <c r="Z45" s="238">
        <v>0</v>
      </c>
      <c r="AA45" s="256"/>
      <c r="AB45" s="238">
        <f t="shared" si="31"/>
        <v>0</v>
      </c>
      <c r="AC45" s="242">
        <f t="shared" si="23"/>
        <v>0</v>
      </c>
    </row>
    <row r="46" spans="2:29" ht="46.5" customHeight="1" x14ac:dyDescent="0.2">
      <c r="B46" s="100" t="s">
        <v>186</v>
      </c>
      <c r="C46" s="110" t="s">
        <v>187</v>
      </c>
      <c r="D46" s="101"/>
      <c r="E46" s="103" t="s">
        <v>476</v>
      </c>
      <c r="F46" s="103" t="s">
        <v>383</v>
      </c>
      <c r="G46" s="103" t="s">
        <v>483</v>
      </c>
      <c r="H46" s="103">
        <v>2024</v>
      </c>
      <c r="I46" s="103">
        <v>2026</v>
      </c>
      <c r="J46" s="260">
        <v>225968900</v>
      </c>
      <c r="K46" s="260">
        <v>0</v>
      </c>
      <c r="L46" s="96">
        <f t="shared" si="21"/>
        <v>225968900</v>
      </c>
      <c r="M46" s="260">
        <v>225968900</v>
      </c>
      <c r="N46" s="260">
        <v>0</v>
      </c>
      <c r="O46" s="119">
        <f t="shared" ref="O46:O47" si="46">M46+N46</f>
        <v>225968900</v>
      </c>
      <c r="P46" s="260">
        <v>225968900</v>
      </c>
      <c r="Q46" s="260">
        <v>0</v>
      </c>
      <c r="R46" s="119">
        <f t="shared" ref="R46:R47" si="47">P46+Q46</f>
        <v>225968900</v>
      </c>
      <c r="S46" s="238">
        <f t="shared" si="40"/>
        <v>677906700</v>
      </c>
      <c r="T46" s="238">
        <f t="shared" si="41"/>
        <v>0</v>
      </c>
      <c r="U46" s="238">
        <f t="shared" si="42"/>
        <v>677906700</v>
      </c>
      <c r="V46" s="238">
        <f t="shared" si="43"/>
        <v>677906700</v>
      </c>
      <c r="W46" s="238">
        <f t="shared" si="44"/>
        <v>0</v>
      </c>
      <c r="X46" s="238">
        <f t="shared" si="45"/>
        <v>677906700</v>
      </c>
      <c r="Y46" s="96">
        <v>0</v>
      </c>
      <c r="Z46" s="238">
        <v>0</v>
      </c>
      <c r="AA46" s="256"/>
      <c r="AB46" s="238">
        <f t="shared" si="31"/>
        <v>0</v>
      </c>
      <c r="AC46" s="242">
        <f t="shared" si="23"/>
        <v>0</v>
      </c>
    </row>
    <row r="47" spans="2:29" ht="66.75" customHeight="1" x14ac:dyDescent="0.2">
      <c r="B47" s="100" t="s">
        <v>188</v>
      </c>
      <c r="C47" s="110" t="s">
        <v>482</v>
      </c>
      <c r="D47" s="101"/>
      <c r="E47" s="111" t="s">
        <v>469</v>
      </c>
      <c r="F47" s="103" t="s">
        <v>485</v>
      </c>
      <c r="G47" s="103" t="s">
        <v>537</v>
      </c>
      <c r="H47" s="103">
        <v>2024</v>
      </c>
      <c r="I47" s="103">
        <v>2026</v>
      </c>
      <c r="J47" s="260">
        <f>57*12*95000/22</f>
        <v>2953636.3636363638</v>
      </c>
      <c r="K47" s="260">
        <v>0</v>
      </c>
      <c r="L47" s="96">
        <f t="shared" si="21"/>
        <v>2953636.3636363638</v>
      </c>
      <c r="M47" s="260">
        <f>(J47*1.05)</f>
        <v>3101318.1818181821</v>
      </c>
      <c r="N47" s="260">
        <v>0</v>
      </c>
      <c r="O47" s="119">
        <f t="shared" si="46"/>
        <v>3101318.1818181821</v>
      </c>
      <c r="P47" s="260">
        <f>M47*1.05</f>
        <v>3256384.0909090913</v>
      </c>
      <c r="Q47" s="260">
        <v>0</v>
      </c>
      <c r="R47" s="119">
        <f t="shared" si="47"/>
        <v>3256384.0909090913</v>
      </c>
      <c r="S47" s="238">
        <f t="shared" si="40"/>
        <v>9311338.6363636367</v>
      </c>
      <c r="T47" s="238">
        <f t="shared" si="41"/>
        <v>0</v>
      </c>
      <c r="U47" s="238">
        <f t="shared" si="42"/>
        <v>9311338.6363636367</v>
      </c>
      <c r="V47" s="238">
        <f t="shared" si="43"/>
        <v>9311338.6363636367</v>
      </c>
      <c r="W47" s="238">
        <f t="shared" si="44"/>
        <v>0</v>
      </c>
      <c r="X47" s="238">
        <f t="shared" si="45"/>
        <v>9311338.6363636367</v>
      </c>
      <c r="Y47" s="96">
        <v>0</v>
      </c>
      <c r="Z47" s="238">
        <v>0</v>
      </c>
      <c r="AA47" s="256"/>
      <c r="AB47" s="238">
        <f t="shared" si="31"/>
        <v>0</v>
      </c>
      <c r="AC47" s="242">
        <f t="shared" si="23"/>
        <v>0</v>
      </c>
    </row>
    <row r="48" spans="2:29" ht="74.25" customHeight="1" x14ac:dyDescent="0.2">
      <c r="B48" s="100" t="s">
        <v>189</v>
      </c>
      <c r="C48" s="112" t="s">
        <v>441</v>
      </c>
      <c r="D48" s="101"/>
      <c r="E48" s="103" t="s">
        <v>477</v>
      </c>
      <c r="F48" s="103" t="s">
        <v>440</v>
      </c>
      <c r="G48" s="103" t="s">
        <v>548</v>
      </c>
      <c r="H48" s="103">
        <v>2024</v>
      </c>
      <c r="I48" s="103">
        <v>2026</v>
      </c>
      <c r="J48" s="260">
        <v>301320</v>
      </c>
      <c r="K48" s="260">
        <v>0</v>
      </c>
      <c r="L48" s="96">
        <f t="shared" si="21"/>
        <v>301320</v>
      </c>
      <c r="M48" s="260">
        <v>301320</v>
      </c>
      <c r="N48" s="260">
        <v>0</v>
      </c>
      <c r="O48" s="119">
        <f t="shared" ref="O48:O52" si="48">M48+N48</f>
        <v>301320</v>
      </c>
      <c r="P48" s="260">
        <v>301320</v>
      </c>
      <c r="Q48" s="260">
        <v>0</v>
      </c>
      <c r="R48" s="119">
        <f t="shared" ref="R48:R52" si="49">P48+Q48</f>
        <v>301320</v>
      </c>
      <c r="S48" s="238">
        <f t="shared" si="40"/>
        <v>903960</v>
      </c>
      <c r="T48" s="238">
        <f t="shared" si="41"/>
        <v>0</v>
      </c>
      <c r="U48" s="238">
        <f t="shared" si="42"/>
        <v>903960</v>
      </c>
      <c r="V48" s="238">
        <f t="shared" si="43"/>
        <v>903960</v>
      </c>
      <c r="W48" s="238">
        <f t="shared" si="44"/>
        <v>0</v>
      </c>
      <c r="X48" s="238">
        <f t="shared" si="45"/>
        <v>903960</v>
      </c>
      <c r="Y48" s="96">
        <v>0</v>
      </c>
      <c r="Z48" s="238">
        <v>0</v>
      </c>
      <c r="AA48" s="256"/>
      <c r="AB48" s="238">
        <f t="shared" si="31"/>
        <v>0</v>
      </c>
      <c r="AC48" s="242">
        <f t="shared" si="23"/>
        <v>0</v>
      </c>
    </row>
    <row r="49" spans="2:29" ht="53.25" customHeight="1" x14ac:dyDescent="0.2">
      <c r="B49" s="100" t="s">
        <v>190</v>
      </c>
      <c r="C49" s="105" t="s">
        <v>191</v>
      </c>
      <c r="D49" s="101"/>
      <c r="E49" s="103" t="s">
        <v>476</v>
      </c>
      <c r="F49" s="103" t="s">
        <v>394</v>
      </c>
      <c r="G49" s="103" t="s">
        <v>549</v>
      </c>
      <c r="H49" s="103">
        <v>2024</v>
      </c>
      <c r="I49" s="103">
        <v>2026</v>
      </c>
      <c r="J49" s="260">
        <v>78812999.999999985</v>
      </c>
      <c r="K49" s="260">
        <v>0</v>
      </c>
      <c r="L49" s="96">
        <f t="shared" si="21"/>
        <v>78812999.999999985</v>
      </c>
      <c r="M49" s="260">
        <v>78812999.999999985</v>
      </c>
      <c r="N49" s="260">
        <v>0</v>
      </c>
      <c r="O49" s="119">
        <f t="shared" si="48"/>
        <v>78812999.999999985</v>
      </c>
      <c r="P49" s="260">
        <v>78812999.999999985</v>
      </c>
      <c r="Q49" s="260">
        <v>0</v>
      </c>
      <c r="R49" s="119">
        <f t="shared" si="49"/>
        <v>78812999.999999985</v>
      </c>
      <c r="S49" s="238">
        <f t="shared" si="40"/>
        <v>236438999.99999994</v>
      </c>
      <c r="T49" s="238">
        <f t="shared" si="41"/>
        <v>0</v>
      </c>
      <c r="U49" s="238">
        <f t="shared" si="42"/>
        <v>236438999.99999994</v>
      </c>
      <c r="V49" s="238">
        <f t="shared" si="43"/>
        <v>236438999.99999994</v>
      </c>
      <c r="W49" s="238">
        <f t="shared" si="44"/>
        <v>0</v>
      </c>
      <c r="X49" s="238">
        <f t="shared" si="45"/>
        <v>236438999.99999994</v>
      </c>
      <c r="Y49" s="96">
        <v>0</v>
      </c>
      <c r="Z49" s="238">
        <v>0</v>
      </c>
      <c r="AA49" s="256"/>
      <c r="AB49" s="238">
        <f t="shared" si="31"/>
        <v>0</v>
      </c>
      <c r="AC49" s="242">
        <f t="shared" si="23"/>
        <v>0</v>
      </c>
    </row>
    <row r="50" spans="2:29" ht="52.5" customHeight="1" x14ac:dyDescent="0.2">
      <c r="B50" s="100" t="s">
        <v>192</v>
      </c>
      <c r="C50" s="112" t="s">
        <v>193</v>
      </c>
      <c r="D50" s="101"/>
      <c r="E50" s="103" t="s">
        <v>476</v>
      </c>
      <c r="F50" s="103" t="s">
        <v>394</v>
      </c>
      <c r="G50" s="103" t="s">
        <v>549</v>
      </c>
      <c r="H50" s="103">
        <v>2024</v>
      </c>
      <c r="I50" s="103">
        <v>2026</v>
      </c>
      <c r="J50" s="237">
        <v>14777400</v>
      </c>
      <c r="K50" s="237">
        <v>0</v>
      </c>
      <c r="L50" s="96">
        <f t="shared" si="21"/>
        <v>14777400</v>
      </c>
      <c r="M50" s="237">
        <v>14777400</v>
      </c>
      <c r="N50" s="237">
        <v>0</v>
      </c>
      <c r="O50" s="96">
        <f t="shared" si="48"/>
        <v>14777400</v>
      </c>
      <c r="P50" s="237">
        <v>14777400</v>
      </c>
      <c r="Q50" s="237">
        <v>0</v>
      </c>
      <c r="R50" s="96">
        <f t="shared" si="49"/>
        <v>14777400</v>
      </c>
      <c r="S50" s="238">
        <f t="shared" si="40"/>
        <v>44332200</v>
      </c>
      <c r="T50" s="238">
        <f t="shared" si="41"/>
        <v>0</v>
      </c>
      <c r="U50" s="238">
        <f t="shared" si="42"/>
        <v>44332200</v>
      </c>
      <c r="V50" s="238">
        <f t="shared" si="43"/>
        <v>44332200</v>
      </c>
      <c r="W50" s="238">
        <f t="shared" si="44"/>
        <v>0</v>
      </c>
      <c r="X50" s="238">
        <f t="shared" si="45"/>
        <v>44332200</v>
      </c>
      <c r="Y50" s="96">
        <v>0</v>
      </c>
      <c r="Z50" s="238">
        <v>0</v>
      </c>
      <c r="AA50" s="256"/>
      <c r="AB50" s="238">
        <f t="shared" si="31"/>
        <v>0</v>
      </c>
      <c r="AC50" s="242">
        <f t="shared" si="23"/>
        <v>0</v>
      </c>
    </row>
    <row r="51" spans="2:29" ht="63.75" customHeight="1" x14ac:dyDescent="0.2">
      <c r="B51" s="100" t="s">
        <v>194</v>
      </c>
      <c r="C51" s="113" t="s">
        <v>195</v>
      </c>
      <c r="D51" s="101"/>
      <c r="E51" s="235" t="s">
        <v>636</v>
      </c>
      <c r="F51" s="103" t="s">
        <v>439</v>
      </c>
      <c r="G51" s="103" t="s">
        <v>550</v>
      </c>
      <c r="H51" s="103">
        <v>2024</v>
      </c>
      <c r="I51" s="103">
        <v>2026</v>
      </c>
      <c r="J51" s="237">
        <f>1956940/3</f>
        <v>652313.33333333337</v>
      </c>
      <c r="K51" s="237">
        <v>0</v>
      </c>
      <c r="L51" s="96">
        <f t="shared" si="21"/>
        <v>652313.33333333337</v>
      </c>
      <c r="M51" s="237">
        <f>1956940/3</f>
        <v>652313.33333333337</v>
      </c>
      <c r="N51" s="260">
        <v>0</v>
      </c>
      <c r="O51" s="119">
        <f t="shared" si="48"/>
        <v>652313.33333333337</v>
      </c>
      <c r="P51" s="260">
        <f>1956940/3</f>
        <v>652313.33333333337</v>
      </c>
      <c r="Q51" s="260">
        <v>0</v>
      </c>
      <c r="R51" s="119">
        <f t="shared" si="49"/>
        <v>652313.33333333337</v>
      </c>
      <c r="S51" s="238">
        <f t="shared" si="40"/>
        <v>1956940</v>
      </c>
      <c r="T51" s="238">
        <f t="shared" si="41"/>
        <v>0</v>
      </c>
      <c r="U51" s="238">
        <f t="shared" si="42"/>
        <v>1956940</v>
      </c>
      <c r="V51" s="238">
        <f t="shared" si="43"/>
        <v>1956940</v>
      </c>
      <c r="W51" s="238">
        <f t="shared" si="44"/>
        <v>0</v>
      </c>
      <c r="X51" s="238">
        <f t="shared" si="45"/>
        <v>1956940</v>
      </c>
      <c r="Y51" s="96">
        <v>0</v>
      </c>
      <c r="Z51" s="238">
        <v>0</v>
      </c>
      <c r="AA51" s="256"/>
      <c r="AB51" s="238">
        <f t="shared" si="31"/>
        <v>0</v>
      </c>
      <c r="AC51" s="242">
        <f t="shared" si="23"/>
        <v>0</v>
      </c>
    </row>
    <row r="52" spans="2:29" ht="53.25" customHeight="1" x14ac:dyDescent="0.2">
      <c r="B52" s="100" t="s">
        <v>196</v>
      </c>
      <c r="C52" s="110" t="s">
        <v>197</v>
      </c>
      <c r="D52" s="101"/>
      <c r="E52" s="235" t="s">
        <v>636</v>
      </c>
      <c r="F52" s="103" t="s">
        <v>439</v>
      </c>
      <c r="G52" s="103" t="s">
        <v>551</v>
      </c>
      <c r="H52" s="103">
        <v>2024</v>
      </c>
      <c r="I52" s="103">
        <v>2026</v>
      </c>
      <c r="J52" s="237">
        <f>1956940/3</f>
        <v>652313.33333333337</v>
      </c>
      <c r="K52" s="237">
        <v>0</v>
      </c>
      <c r="L52" s="96">
        <f t="shared" si="21"/>
        <v>652313.33333333337</v>
      </c>
      <c r="M52" s="237">
        <f>1956940/3</f>
        <v>652313.33333333337</v>
      </c>
      <c r="N52" s="260">
        <v>0</v>
      </c>
      <c r="O52" s="119">
        <f t="shared" si="48"/>
        <v>652313.33333333337</v>
      </c>
      <c r="P52" s="260">
        <f>1956940/3</f>
        <v>652313.33333333337</v>
      </c>
      <c r="Q52" s="260">
        <v>0</v>
      </c>
      <c r="R52" s="119">
        <f t="shared" si="49"/>
        <v>652313.33333333337</v>
      </c>
      <c r="S52" s="238">
        <f t="shared" si="40"/>
        <v>1956940</v>
      </c>
      <c r="T52" s="238">
        <f t="shared" si="41"/>
        <v>0</v>
      </c>
      <c r="U52" s="238">
        <f t="shared" si="42"/>
        <v>1956940</v>
      </c>
      <c r="V52" s="238">
        <f t="shared" si="43"/>
        <v>1956940</v>
      </c>
      <c r="W52" s="238">
        <f t="shared" si="44"/>
        <v>0</v>
      </c>
      <c r="X52" s="238">
        <f t="shared" si="45"/>
        <v>1956940</v>
      </c>
      <c r="Y52" s="96">
        <v>0</v>
      </c>
      <c r="Z52" s="238">
        <v>0</v>
      </c>
      <c r="AA52" s="256"/>
      <c r="AB52" s="238">
        <f t="shared" si="31"/>
        <v>0</v>
      </c>
      <c r="AC52" s="242">
        <f t="shared" si="23"/>
        <v>0</v>
      </c>
    </row>
    <row r="53" spans="2:29" ht="53.25" customHeight="1" x14ac:dyDescent="0.2">
      <c r="B53" s="100" t="s">
        <v>198</v>
      </c>
      <c r="C53" s="110" t="s">
        <v>199</v>
      </c>
      <c r="D53" s="101"/>
      <c r="E53" s="235"/>
      <c r="F53" s="103" t="s">
        <v>395</v>
      </c>
      <c r="G53" s="103" t="s">
        <v>484</v>
      </c>
      <c r="H53" s="103">
        <v>2024</v>
      </c>
      <c r="I53" s="103">
        <v>2026</v>
      </c>
      <c r="J53" s="96">
        <v>10813.678946256252</v>
      </c>
      <c r="K53" s="96">
        <v>0</v>
      </c>
      <c r="L53" s="96">
        <f t="shared" si="21"/>
        <v>10813.678946256252</v>
      </c>
      <c r="M53" s="96">
        <v>14182.108896245685</v>
      </c>
      <c r="N53" s="96">
        <v>9757</v>
      </c>
      <c r="O53" s="96">
        <f>M53+N53</f>
        <v>23939.108896245685</v>
      </c>
      <c r="P53" s="96">
        <v>15357.41953680742</v>
      </c>
      <c r="Q53" s="96">
        <v>13045.343382404733</v>
      </c>
      <c r="R53" s="96">
        <f>P53+Q53</f>
        <v>28402.762919212153</v>
      </c>
      <c r="S53" s="238">
        <f t="shared" si="40"/>
        <v>40353.207379309359</v>
      </c>
      <c r="T53" s="238">
        <f t="shared" si="41"/>
        <v>22802.343382404732</v>
      </c>
      <c r="U53" s="238">
        <f t="shared" si="42"/>
        <v>63155.55076171409</v>
      </c>
      <c r="V53" s="238">
        <f t="shared" si="43"/>
        <v>40353.207379309359</v>
      </c>
      <c r="W53" s="238">
        <f t="shared" si="44"/>
        <v>22802.343382404732</v>
      </c>
      <c r="X53" s="238">
        <f t="shared" si="45"/>
        <v>63155.55076171409</v>
      </c>
      <c r="Y53" s="96">
        <v>0</v>
      </c>
      <c r="Z53" s="238">
        <v>0</v>
      </c>
      <c r="AA53" s="256"/>
      <c r="AB53" s="238">
        <f t="shared" si="31"/>
        <v>0</v>
      </c>
      <c r="AC53" s="242">
        <f t="shared" si="23"/>
        <v>0</v>
      </c>
    </row>
    <row r="54" spans="2:29" ht="79.5" customHeight="1" x14ac:dyDescent="0.2">
      <c r="B54" s="100" t="s">
        <v>200</v>
      </c>
      <c r="C54" s="98" t="s">
        <v>201</v>
      </c>
      <c r="D54" s="141"/>
      <c r="E54" s="263" t="s">
        <v>637</v>
      </c>
      <c r="F54" s="92" t="s">
        <v>396</v>
      </c>
      <c r="G54" s="92" t="s">
        <v>552</v>
      </c>
      <c r="H54" s="92">
        <v>2024</v>
      </c>
      <c r="I54" s="92">
        <v>2026</v>
      </c>
      <c r="J54" s="96">
        <v>2118000</v>
      </c>
      <c r="K54" s="96">
        <v>42000</v>
      </c>
      <c r="L54" s="96">
        <f t="shared" si="21"/>
        <v>2160000</v>
      </c>
      <c r="M54" s="96">
        <v>2326000</v>
      </c>
      <c r="N54" s="96">
        <v>277000</v>
      </c>
      <c r="O54" s="96">
        <f>M54+N54</f>
        <v>2603000</v>
      </c>
      <c r="P54" s="96">
        <v>2326000</v>
      </c>
      <c r="Q54" s="96">
        <v>148000</v>
      </c>
      <c r="R54" s="96">
        <f>P54+Q54</f>
        <v>2474000</v>
      </c>
      <c r="S54" s="238">
        <f t="shared" si="40"/>
        <v>6770000</v>
      </c>
      <c r="T54" s="238">
        <f t="shared" si="41"/>
        <v>467000</v>
      </c>
      <c r="U54" s="238">
        <f t="shared" si="42"/>
        <v>7237000</v>
      </c>
      <c r="V54" s="238">
        <f t="shared" si="43"/>
        <v>6770000</v>
      </c>
      <c r="W54" s="238">
        <f t="shared" si="44"/>
        <v>467000</v>
      </c>
      <c r="X54" s="238">
        <f t="shared" si="45"/>
        <v>7237000</v>
      </c>
      <c r="Y54" s="96">
        <v>0</v>
      </c>
      <c r="Z54" s="238">
        <v>0</v>
      </c>
      <c r="AA54" s="256"/>
      <c r="AB54" s="238">
        <f t="shared" si="31"/>
        <v>0</v>
      </c>
      <c r="AC54" s="242">
        <f t="shared" si="23"/>
        <v>0</v>
      </c>
    </row>
    <row r="55" spans="2:29" ht="54" customHeight="1" x14ac:dyDescent="0.2">
      <c r="B55" s="100" t="s">
        <v>202</v>
      </c>
      <c r="C55" s="98" t="s">
        <v>382</v>
      </c>
      <c r="D55" s="141"/>
      <c r="E55" s="263" t="s">
        <v>632</v>
      </c>
      <c r="F55" s="92" t="s">
        <v>391</v>
      </c>
      <c r="G55" s="92" t="s">
        <v>553</v>
      </c>
      <c r="H55" s="92">
        <v>2024</v>
      </c>
      <c r="I55" s="92">
        <v>2026</v>
      </c>
      <c r="J55" s="237">
        <v>2350000</v>
      </c>
      <c r="K55" s="237">
        <v>0</v>
      </c>
      <c r="L55" s="96">
        <f t="shared" si="21"/>
        <v>2350000</v>
      </c>
      <c r="M55" s="237">
        <v>2350000</v>
      </c>
      <c r="N55" s="237">
        <v>0</v>
      </c>
      <c r="O55" s="96">
        <f t="shared" ref="O55:O56" si="50">M55+N55</f>
        <v>2350000</v>
      </c>
      <c r="P55" s="237">
        <v>2350000</v>
      </c>
      <c r="Q55" s="237">
        <v>0</v>
      </c>
      <c r="R55" s="96">
        <f t="shared" ref="R55:R56" si="51">P55+Q55</f>
        <v>2350000</v>
      </c>
      <c r="S55" s="238">
        <f t="shared" si="40"/>
        <v>7050000</v>
      </c>
      <c r="T55" s="238">
        <f t="shared" si="41"/>
        <v>0</v>
      </c>
      <c r="U55" s="238">
        <f t="shared" si="42"/>
        <v>7050000</v>
      </c>
      <c r="V55" s="238">
        <f t="shared" si="43"/>
        <v>7050000</v>
      </c>
      <c r="W55" s="238">
        <f t="shared" si="44"/>
        <v>0</v>
      </c>
      <c r="X55" s="238">
        <f t="shared" si="45"/>
        <v>7050000</v>
      </c>
      <c r="Y55" s="96">
        <v>0</v>
      </c>
      <c r="Z55" s="238">
        <v>0</v>
      </c>
      <c r="AA55" s="256"/>
      <c r="AB55" s="238">
        <f t="shared" si="31"/>
        <v>0</v>
      </c>
      <c r="AC55" s="242">
        <f t="shared" si="23"/>
        <v>0</v>
      </c>
    </row>
    <row r="56" spans="2:29" ht="42.75" customHeight="1" x14ac:dyDescent="0.2">
      <c r="B56" s="100" t="s">
        <v>203</v>
      </c>
      <c r="C56" s="87" t="s">
        <v>204</v>
      </c>
      <c r="D56" s="141"/>
      <c r="E56" s="263" t="s">
        <v>619</v>
      </c>
      <c r="F56" s="92" t="s">
        <v>391</v>
      </c>
      <c r="G56" s="92" t="s">
        <v>554</v>
      </c>
      <c r="H56" s="92">
        <v>2024</v>
      </c>
      <c r="I56" s="92">
        <v>2026</v>
      </c>
      <c r="J56" s="237">
        <v>1200000</v>
      </c>
      <c r="K56" s="237">
        <v>0</v>
      </c>
      <c r="L56" s="96">
        <f t="shared" si="21"/>
        <v>1200000</v>
      </c>
      <c r="M56" s="237">
        <v>1200000</v>
      </c>
      <c r="N56" s="237">
        <v>0</v>
      </c>
      <c r="O56" s="96">
        <f t="shared" si="50"/>
        <v>1200000</v>
      </c>
      <c r="P56" s="237">
        <v>1200000</v>
      </c>
      <c r="Q56" s="237">
        <v>0</v>
      </c>
      <c r="R56" s="96">
        <f t="shared" si="51"/>
        <v>1200000</v>
      </c>
      <c r="S56" s="238">
        <f t="shared" si="40"/>
        <v>3600000</v>
      </c>
      <c r="T56" s="238">
        <f t="shared" si="41"/>
        <v>0</v>
      </c>
      <c r="U56" s="238">
        <f t="shared" si="42"/>
        <v>3600000</v>
      </c>
      <c r="V56" s="238">
        <f t="shared" si="43"/>
        <v>3600000</v>
      </c>
      <c r="W56" s="238">
        <f t="shared" si="44"/>
        <v>0</v>
      </c>
      <c r="X56" s="238">
        <f t="shared" si="45"/>
        <v>3600000</v>
      </c>
      <c r="Y56" s="96">
        <v>0</v>
      </c>
      <c r="Z56" s="238">
        <v>0</v>
      </c>
      <c r="AA56" s="256"/>
      <c r="AB56" s="238">
        <f t="shared" si="31"/>
        <v>0</v>
      </c>
      <c r="AC56" s="242">
        <f t="shared" si="23"/>
        <v>0</v>
      </c>
    </row>
    <row r="57" spans="2:29" ht="28.5" customHeight="1" x14ac:dyDescent="0.2">
      <c r="B57" s="86"/>
      <c r="C57" s="97" t="s">
        <v>205</v>
      </c>
      <c r="D57" s="141"/>
      <c r="E57" s="92"/>
      <c r="F57" s="92"/>
      <c r="G57" s="92"/>
      <c r="H57" s="92"/>
      <c r="I57" s="92"/>
      <c r="J57" s="237"/>
      <c r="K57" s="237"/>
      <c r="L57" s="96"/>
      <c r="M57" s="237"/>
      <c r="N57" s="237"/>
      <c r="O57" s="96"/>
      <c r="P57" s="237"/>
      <c r="Q57" s="96"/>
      <c r="R57" s="96"/>
      <c r="S57" s="96"/>
      <c r="T57" s="96"/>
      <c r="U57" s="96"/>
      <c r="V57" s="96"/>
      <c r="W57" s="96"/>
      <c r="X57" s="96"/>
      <c r="Y57" s="96">
        <v>0</v>
      </c>
      <c r="Z57" s="238">
        <v>0</v>
      </c>
      <c r="AA57" s="256"/>
      <c r="AB57" s="238">
        <f t="shared" si="31"/>
        <v>0</v>
      </c>
      <c r="AC57" s="242">
        <f t="shared" si="23"/>
        <v>0</v>
      </c>
    </row>
    <row r="58" spans="2:29" ht="54" customHeight="1" x14ac:dyDescent="0.2">
      <c r="B58" s="100" t="s">
        <v>9</v>
      </c>
      <c r="C58" s="110" t="s">
        <v>206</v>
      </c>
      <c r="D58" s="101"/>
      <c r="E58" s="103" t="s">
        <v>476</v>
      </c>
      <c r="F58" s="103" t="s">
        <v>383</v>
      </c>
      <c r="G58" s="103" t="s">
        <v>397</v>
      </c>
      <c r="H58" s="103">
        <v>2024</v>
      </c>
      <c r="I58" s="103">
        <v>2026</v>
      </c>
      <c r="J58" s="260">
        <v>149636700</v>
      </c>
      <c r="K58" s="260">
        <v>0</v>
      </c>
      <c r="L58" s="119">
        <f t="shared" si="21"/>
        <v>149636700</v>
      </c>
      <c r="M58" s="260">
        <v>149636700</v>
      </c>
      <c r="N58" s="260">
        <v>0</v>
      </c>
      <c r="O58" s="119">
        <f t="shared" ref="O58:O59" si="52">M58+N58</f>
        <v>149636700</v>
      </c>
      <c r="P58" s="260">
        <v>149636700</v>
      </c>
      <c r="Q58" s="260">
        <v>0</v>
      </c>
      <c r="R58" s="96">
        <f t="shared" ref="R58:R59" si="53">P58+Q58</f>
        <v>149636700</v>
      </c>
      <c r="S58" s="238">
        <f>J58+M58+P58</f>
        <v>448910100</v>
      </c>
      <c r="T58" s="238">
        <f>K58+N58+Q58</f>
        <v>0</v>
      </c>
      <c r="U58" s="238">
        <f>S58+T58</f>
        <v>448910100</v>
      </c>
      <c r="V58" s="238">
        <f>S58</f>
        <v>448910100</v>
      </c>
      <c r="W58" s="238">
        <f t="shared" ref="W58:W79" si="54">T58</f>
        <v>0</v>
      </c>
      <c r="X58" s="238">
        <f t="shared" ref="X58:X79" si="55">V58+W58</f>
        <v>448910100</v>
      </c>
      <c r="Y58" s="96">
        <v>0</v>
      </c>
      <c r="Z58" s="238">
        <v>0</v>
      </c>
      <c r="AA58" s="256"/>
      <c r="AB58" s="238">
        <f t="shared" si="31"/>
        <v>0</v>
      </c>
      <c r="AC58" s="242">
        <f t="shared" si="23"/>
        <v>0</v>
      </c>
    </row>
    <row r="59" spans="2:29" ht="63" customHeight="1" x14ac:dyDescent="0.2">
      <c r="B59" s="100" t="s">
        <v>508</v>
      </c>
      <c r="C59" s="107" t="s">
        <v>207</v>
      </c>
      <c r="D59" s="101"/>
      <c r="E59" s="111" t="s">
        <v>469</v>
      </c>
      <c r="F59" s="103" t="s">
        <v>398</v>
      </c>
      <c r="G59" s="103" t="s">
        <v>403</v>
      </c>
      <c r="H59" s="103">
        <v>2024</v>
      </c>
      <c r="I59" s="103">
        <v>2026</v>
      </c>
      <c r="J59" s="260">
        <f>57*95000/22</f>
        <v>246136.36363636365</v>
      </c>
      <c r="K59" s="260">
        <v>0</v>
      </c>
      <c r="L59" s="119">
        <f t="shared" si="21"/>
        <v>246136.36363636365</v>
      </c>
      <c r="M59" s="260">
        <f>(J59*1.05)</f>
        <v>258443.18181818185</v>
      </c>
      <c r="N59" s="260">
        <v>0</v>
      </c>
      <c r="O59" s="119">
        <f t="shared" si="52"/>
        <v>258443.18181818185</v>
      </c>
      <c r="P59" s="260">
        <f>M59*1.05</f>
        <v>271365.34090909094</v>
      </c>
      <c r="Q59" s="119">
        <v>0</v>
      </c>
      <c r="R59" s="96">
        <f t="shared" si="53"/>
        <v>271365.34090909094</v>
      </c>
      <c r="S59" s="238">
        <f t="shared" ref="S59:S79" si="56">J59+M59+P59</f>
        <v>775944.88636363647</v>
      </c>
      <c r="T59" s="238">
        <f t="shared" ref="T59:T79" si="57">K59+N59+Q59</f>
        <v>0</v>
      </c>
      <c r="U59" s="238">
        <f t="shared" ref="U59:U79" si="58">S59+T59</f>
        <v>775944.88636363647</v>
      </c>
      <c r="V59" s="238">
        <f t="shared" ref="V59:V79" si="59">S59</f>
        <v>775944.88636363647</v>
      </c>
      <c r="W59" s="238">
        <f t="shared" si="54"/>
        <v>0</v>
      </c>
      <c r="X59" s="238">
        <f t="shared" si="55"/>
        <v>775944.88636363647</v>
      </c>
      <c r="Y59" s="96">
        <v>0</v>
      </c>
      <c r="Z59" s="238">
        <v>0</v>
      </c>
      <c r="AA59" s="256"/>
      <c r="AB59" s="238">
        <f t="shared" si="31"/>
        <v>0</v>
      </c>
      <c r="AC59" s="242">
        <f t="shared" si="23"/>
        <v>0</v>
      </c>
    </row>
    <row r="60" spans="2:29" ht="41.25" customHeight="1" x14ac:dyDescent="0.2">
      <c r="B60" s="100" t="s">
        <v>10</v>
      </c>
      <c r="C60" s="107" t="s">
        <v>208</v>
      </c>
      <c r="D60" s="101"/>
      <c r="E60" s="106" t="s">
        <v>475</v>
      </c>
      <c r="F60" s="114" t="s">
        <v>399</v>
      </c>
      <c r="G60" s="103" t="s">
        <v>69</v>
      </c>
      <c r="H60" s="103">
        <v>2024</v>
      </c>
      <c r="I60" s="103">
        <v>2026</v>
      </c>
      <c r="J60" s="260">
        <v>59639910</v>
      </c>
      <c r="K60" s="260">
        <v>0</v>
      </c>
      <c r="L60" s="119">
        <f t="shared" si="21"/>
        <v>59639910</v>
      </c>
      <c r="M60" s="260">
        <v>59639910</v>
      </c>
      <c r="N60" s="260">
        <v>0</v>
      </c>
      <c r="O60" s="119">
        <f t="shared" ref="O60" si="60">M60+N60</f>
        <v>59639910</v>
      </c>
      <c r="P60" s="260">
        <v>59639910</v>
      </c>
      <c r="Q60" s="119">
        <v>0</v>
      </c>
      <c r="R60" s="96">
        <f t="shared" ref="R60" si="61">P60+Q60</f>
        <v>59639910</v>
      </c>
      <c r="S60" s="238">
        <f t="shared" si="56"/>
        <v>178919730</v>
      </c>
      <c r="T60" s="238">
        <f t="shared" si="57"/>
        <v>0</v>
      </c>
      <c r="U60" s="238">
        <f t="shared" si="58"/>
        <v>178919730</v>
      </c>
      <c r="V60" s="238">
        <f t="shared" si="59"/>
        <v>178919730</v>
      </c>
      <c r="W60" s="238">
        <f t="shared" si="54"/>
        <v>0</v>
      </c>
      <c r="X60" s="238">
        <f t="shared" si="55"/>
        <v>178919730</v>
      </c>
      <c r="Y60" s="96">
        <v>0</v>
      </c>
      <c r="Z60" s="238">
        <v>0</v>
      </c>
      <c r="AA60" s="256"/>
      <c r="AB60" s="238">
        <f t="shared" si="31"/>
        <v>0</v>
      </c>
      <c r="AC60" s="242">
        <f t="shared" si="23"/>
        <v>0</v>
      </c>
    </row>
    <row r="61" spans="2:29" ht="48" customHeight="1" x14ac:dyDescent="0.2">
      <c r="B61" s="100" t="s">
        <v>80</v>
      </c>
      <c r="C61" s="104" t="s">
        <v>209</v>
      </c>
      <c r="D61" s="101"/>
      <c r="E61" s="103" t="s">
        <v>476</v>
      </c>
      <c r="F61" s="114" t="s">
        <v>399</v>
      </c>
      <c r="G61" s="102" t="s">
        <v>501</v>
      </c>
      <c r="H61" s="102">
        <v>2024</v>
      </c>
      <c r="I61" s="102">
        <v>2026</v>
      </c>
      <c r="J61" s="260">
        <v>2167560</v>
      </c>
      <c r="K61" s="260">
        <v>0</v>
      </c>
      <c r="L61" s="119">
        <f t="shared" si="21"/>
        <v>2167560</v>
      </c>
      <c r="M61" s="260">
        <v>2167560</v>
      </c>
      <c r="N61" s="260">
        <v>0</v>
      </c>
      <c r="O61" s="119">
        <f t="shared" ref="O61" si="62">M61+N61</f>
        <v>2167560</v>
      </c>
      <c r="P61" s="260">
        <v>2167560</v>
      </c>
      <c r="Q61" s="260">
        <v>0</v>
      </c>
      <c r="R61" s="96">
        <f t="shared" ref="R61" si="63">P61+Q61</f>
        <v>2167560</v>
      </c>
      <c r="S61" s="238">
        <f t="shared" si="56"/>
        <v>6502680</v>
      </c>
      <c r="T61" s="238">
        <f t="shared" si="57"/>
        <v>0</v>
      </c>
      <c r="U61" s="238">
        <f t="shared" si="58"/>
        <v>6502680</v>
      </c>
      <c r="V61" s="238">
        <f t="shared" si="59"/>
        <v>6502680</v>
      </c>
      <c r="W61" s="238">
        <f t="shared" si="54"/>
        <v>0</v>
      </c>
      <c r="X61" s="238">
        <f t="shared" si="55"/>
        <v>6502680</v>
      </c>
      <c r="Y61" s="96">
        <v>0</v>
      </c>
      <c r="Z61" s="238">
        <v>0</v>
      </c>
      <c r="AA61" s="256"/>
      <c r="AB61" s="238">
        <f t="shared" si="31"/>
        <v>0</v>
      </c>
      <c r="AC61" s="242">
        <f t="shared" si="23"/>
        <v>0</v>
      </c>
    </row>
    <row r="62" spans="2:29" ht="57.75" customHeight="1" x14ac:dyDescent="0.2">
      <c r="B62" s="100" t="s">
        <v>81</v>
      </c>
      <c r="C62" s="104" t="s">
        <v>211</v>
      </c>
      <c r="D62" s="101"/>
      <c r="E62" s="103" t="s">
        <v>476</v>
      </c>
      <c r="F62" s="114" t="s">
        <v>399</v>
      </c>
      <c r="G62" s="102" t="s">
        <v>505</v>
      </c>
      <c r="H62" s="102">
        <v>2024</v>
      </c>
      <c r="I62" s="102">
        <v>2026</v>
      </c>
      <c r="J62" s="260">
        <v>2885200</v>
      </c>
      <c r="K62" s="260">
        <v>0</v>
      </c>
      <c r="L62" s="119">
        <f t="shared" si="21"/>
        <v>2885200</v>
      </c>
      <c r="M62" s="260">
        <v>2885200</v>
      </c>
      <c r="N62" s="260">
        <v>0</v>
      </c>
      <c r="O62" s="119">
        <f t="shared" ref="O62:O63" si="64">M62+N62</f>
        <v>2885200</v>
      </c>
      <c r="P62" s="260">
        <v>2885200</v>
      </c>
      <c r="Q62" s="260">
        <v>0</v>
      </c>
      <c r="R62" s="96">
        <f t="shared" ref="R62:R63" si="65">P62+Q62</f>
        <v>2885200</v>
      </c>
      <c r="S62" s="238">
        <f t="shared" si="56"/>
        <v>8655600</v>
      </c>
      <c r="T62" s="238">
        <f t="shared" si="57"/>
        <v>0</v>
      </c>
      <c r="U62" s="238">
        <f t="shared" si="58"/>
        <v>8655600</v>
      </c>
      <c r="V62" s="238">
        <f t="shared" si="59"/>
        <v>8655600</v>
      </c>
      <c r="W62" s="238">
        <f t="shared" si="54"/>
        <v>0</v>
      </c>
      <c r="X62" s="238">
        <f t="shared" si="55"/>
        <v>8655600</v>
      </c>
      <c r="Y62" s="96">
        <v>0</v>
      </c>
      <c r="Z62" s="238">
        <v>0</v>
      </c>
      <c r="AA62" s="256"/>
      <c r="AB62" s="238">
        <f t="shared" si="31"/>
        <v>0</v>
      </c>
      <c r="AC62" s="242">
        <f t="shared" si="23"/>
        <v>0</v>
      </c>
    </row>
    <row r="63" spans="2:29" ht="71.25" customHeight="1" x14ac:dyDescent="0.2">
      <c r="B63" s="100" t="s">
        <v>210</v>
      </c>
      <c r="C63" s="98" t="s">
        <v>213</v>
      </c>
      <c r="D63" s="141"/>
      <c r="E63" s="264" t="s">
        <v>469</v>
      </c>
      <c r="F63" s="102" t="s">
        <v>485</v>
      </c>
      <c r="G63" s="92" t="s">
        <v>502</v>
      </c>
      <c r="H63" s="92">
        <v>2024</v>
      </c>
      <c r="I63" s="92">
        <v>2026</v>
      </c>
      <c r="J63" s="260">
        <f>57*3*95000</f>
        <v>16245000</v>
      </c>
      <c r="K63" s="260">
        <v>0</v>
      </c>
      <c r="L63" s="119">
        <f t="shared" si="21"/>
        <v>16245000</v>
      </c>
      <c r="M63" s="260">
        <f t="shared" ref="M63" si="66">(J63*1.05)</f>
        <v>17057250</v>
      </c>
      <c r="N63" s="260">
        <v>0</v>
      </c>
      <c r="O63" s="119">
        <f t="shared" si="64"/>
        <v>17057250</v>
      </c>
      <c r="P63" s="260">
        <f t="shared" ref="P63" si="67">M63*1.05</f>
        <v>17910112.5</v>
      </c>
      <c r="Q63" s="260">
        <v>0</v>
      </c>
      <c r="R63" s="96">
        <f t="shared" si="65"/>
        <v>17910112.5</v>
      </c>
      <c r="S63" s="238">
        <f t="shared" si="56"/>
        <v>51212362.5</v>
      </c>
      <c r="T63" s="238">
        <f t="shared" si="57"/>
        <v>0</v>
      </c>
      <c r="U63" s="238">
        <f t="shared" si="58"/>
        <v>51212362.5</v>
      </c>
      <c r="V63" s="238">
        <f t="shared" si="59"/>
        <v>51212362.5</v>
      </c>
      <c r="W63" s="238">
        <f t="shared" si="54"/>
        <v>0</v>
      </c>
      <c r="X63" s="238">
        <f t="shared" si="55"/>
        <v>51212362.5</v>
      </c>
      <c r="Y63" s="96">
        <v>0</v>
      </c>
      <c r="Z63" s="238">
        <v>0</v>
      </c>
      <c r="AA63" s="256"/>
      <c r="AB63" s="238">
        <f t="shared" si="31"/>
        <v>0</v>
      </c>
      <c r="AC63" s="242">
        <f t="shared" si="23"/>
        <v>0</v>
      </c>
    </row>
    <row r="64" spans="2:29" ht="87.75" customHeight="1" x14ac:dyDescent="0.2">
      <c r="B64" s="100" t="s">
        <v>212</v>
      </c>
      <c r="C64" s="98" t="s">
        <v>503</v>
      </c>
      <c r="D64" s="141"/>
      <c r="E64" s="262" t="s">
        <v>631</v>
      </c>
      <c r="F64" s="92" t="s">
        <v>400</v>
      </c>
      <c r="G64" s="92" t="s">
        <v>84</v>
      </c>
      <c r="H64" s="92">
        <v>2024</v>
      </c>
      <c r="I64" s="92">
        <v>2026</v>
      </c>
      <c r="J64" s="260">
        <v>956940</v>
      </c>
      <c r="K64" s="260">
        <v>0</v>
      </c>
      <c r="L64" s="119">
        <f t="shared" si="21"/>
        <v>956940</v>
      </c>
      <c r="M64" s="260">
        <v>956940</v>
      </c>
      <c r="N64" s="260">
        <v>0</v>
      </c>
      <c r="O64" s="119">
        <f t="shared" ref="O64:O70" si="68">M64+N64</f>
        <v>956940</v>
      </c>
      <c r="P64" s="260">
        <v>956940</v>
      </c>
      <c r="Q64" s="260">
        <v>0</v>
      </c>
      <c r="R64" s="96">
        <f t="shared" ref="R64:R70" si="69">P64+Q64</f>
        <v>956940</v>
      </c>
      <c r="S64" s="238">
        <f t="shared" si="56"/>
        <v>2870820</v>
      </c>
      <c r="T64" s="238">
        <f t="shared" si="57"/>
        <v>0</v>
      </c>
      <c r="U64" s="238">
        <f t="shared" si="58"/>
        <v>2870820</v>
      </c>
      <c r="V64" s="238">
        <f t="shared" si="59"/>
        <v>2870820</v>
      </c>
      <c r="W64" s="238">
        <f t="shared" si="54"/>
        <v>0</v>
      </c>
      <c r="X64" s="238">
        <f t="shared" si="55"/>
        <v>2870820</v>
      </c>
      <c r="Y64" s="96">
        <v>0</v>
      </c>
      <c r="Z64" s="238">
        <v>0</v>
      </c>
      <c r="AA64" s="256"/>
      <c r="AB64" s="238">
        <f t="shared" si="31"/>
        <v>0</v>
      </c>
      <c r="AC64" s="242">
        <f t="shared" si="23"/>
        <v>0</v>
      </c>
    </row>
    <row r="65" spans="1:92" ht="77.25" customHeight="1" x14ac:dyDescent="0.2">
      <c r="B65" s="100" t="s">
        <v>214</v>
      </c>
      <c r="C65" s="105" t="s">
        <v>216</v>
      </c>
      <c r="D65" s="101"/>
      <c r="E65" s="111" t="s">
        <v>469</v>
      </c>
      <c r="F65" s="102" t="s">
        <v>485</v>
      </c>
      <c r="G65" s="103" t="s">
        <v>402</v>
      </c>
      <c r="H65" s="103">
        <v>2024</v>
      </c>
      <c r="I65" s="103">
        <v>2026</v>
      </c>
      <c r="J65" s="260">
        <f>57*3*95000</f>
        <v>16245000</v>
      </c>
      <c r="K65" s="260">
        <v>0</v>
      </c>
      <c r="L65" s="119">
        <f t="shared" si="21"/>
        <v>16245000</v>
      </c>
      <c r="M65" s="260">
        <f t="shared" ref="M65:M69" si="70">(J65*1.05)</f>
        <v>17057250</v>
      </c>
      <c r="N65" s="260">
        <v>0</v>
      </c>
      <c r="O65" s="119">
        <f t="shared" si="68"/>
        <v>17057250</v>
      </c>
      <c r="P65" s="260">
        <f t="shared" ref="P65:P69" si="71">M65*1.05</f>
        <v>17910112.5</v>
      </c>
      <c r="Q65" s="260">
        <v>0</v>
      </c>
      <c r="R65" s="119">
        <f t="shared" si="69"/>
        <v>17910112.5</v>
      </c>
      <c r="S65" s="238">
        <f t="shared" si="56"/>
        <v>51212362.5</v>
      </c>
      <c r="T65" s="238">
        <f t="shared" si="57"/>
        <v>0</v>
      </c>
      <c r="U65" s="238">
        <f t="shared" si="58"/>
        <v>51212362.5</v>
      </c>
      <c r="V65" s="238">
        <f t="shared" si="59"/>
        <v>51212362.5</v>
      </c>
      <c r="W65" s="238">
        <f t="shared" si="54"/>
        <v>0</v>
      </c>
      <c r="X65" s="238">
        <f t="shared" si="55"/>
        <v>51212362.5</v>
      </c>
      <c r="Y65" s="96">
        <v>0</v>
      </c>
      <c r="Z65" s="238">
        <v>0</v>
      </c>
      <c r="AA65" s="256"/>
      <c r="AB65" s="238">
        <f t="shared" si="31"/>
        <v>0</v>
      </c>
      <c r="AC65" s="265">
        <f t="shared" si="23"/>
        <v>0</v>
      </c>
    </row>
    <row r="66" spans="1:92" ht="56.25" customHeight="1" x14ac:dyDescent="0.2">
      <c r="B66" s="100" t="s">
        <v>215</v>
      </c>
      <c r="C66" s="107" t="s">
        <v>218</v>
      </c>
      <c r="D66" s="101"/>
      <c r="E66" s="111" t="s">
        <v>469</v>
      </c>
      <c r="F66" s="102" t="s">
        <v>504</v>
      </c>
      <c r="G66" s="103" t="s">
        <v>486</v>
      </c>
      <c r="H66" s="103">
        <v>2024</v>
      </c>
      <c r="I66" s="103">
        <v>2026</v>
      </c>
      <c r="J66" s="260">
        <f>57*3*95000</f>
        <v>16245000</v>
      </c>
      <c r="K66" s="260">
        <v>0</v>
      </c>
      <c r="L66" s="119">
        <f t="shared" si="21"/>
        <v>16245000</v>
      </c>
      <c r="M66" s="260">
        <f t="shared" si="70"/>
        <v>17057250</v>
      </c>
      <c r="N66" s="260">
        <v>0</v>
      </c>
      <c r="O66" s="119">
        <f t="shared" si="68"/>
        <v>17057250</v>
      </c>
      <c r="P66" s="260">
        <f t="shared" si="71"/>
        <v>17910112.5</v>
      </c>
      <c r="Q66" s="260">
        <v>0</v>
      </c>
      <c r="R66" s="119">
        <f t="shared" si="69"/>
        <v>17910112.5</v>
      </c>
      <c r="S66" s="238">
        <f t="shared" si="56"/>
        <v>51212362.5</v>
      </c>
      <c r="T66" s="238">
        <f t="shared" si="57"/>
        <v>0</v>
      </c>
      <c r="U66" s="238">
        <f t="shared" si="58"/>
        <v>51212362.5</v>
      </c>
      <c r="V66" s="238">
        <f t="shared" si="59"/>
        <v>51212362.5</v>
      </c>
      <c r="W66" s="238">
        <f t="shared" si="54"/>
        <v>0</v>
      </c>
      <c r="X66" s="238">
        <f t="shared" si="55"/>
        <v>51212362.5</v>
      </c>
      <c r="Y66" s="96">
        <v>0</v>
      </c>
      <c r="Z66" s="238">
        <v>0</v>
      </c>
      <c r="AA66" s="256"/>
      <c r="AB66" s="238">
        <f t="shared" si="31"/>
        <v>0</v>
      </c>
      <c r="AC66" s="265">
        <f t="shared" si="23"/>
        <v>0</v>
      </c>
    </row>
    <row r="67" spans="1:92" ht="57" customHeight="1" x14ac:dyDescent="0.2">
      <c r="B67" s="100" t="s">
        <v>217</v>
      </c>
      <c r="C67" s="115" t="s">
        <v>470</v>
      </c>
      <c r="D67" s="101"/>
      <c r="E67" s="266" t="s">
        <v>469</v>
      </c>
      <c r="F67" s="103" t="s">
        <v>485</v>
      </c>
      <c r="G67" s="103" t="s">
        <v>403</v>
      </c>
      <c r="H67" s="103">
        <v>2024</v>
      </c>
      <c r="I67" s="103">
        <v>2026</v>
      </c>
      <c r="J67" s="260">
        <v>160000</v>
      </c>
      <c r="K67" s="260">
        <v>0</v>
      </c>
      <c r="L67" s="119">
        <f t="shared" si="21"/>
        <v>160000</v>
      </c>
      <c r="M67" s="260">
        <f t="shared" si="70"/>
        <v>168000</v>
      </c>
      <c r="N67" s="260">
        <v>0</v>
      </c>
      <c r="O67" s="119">
        <f t="shared" si="68"/>
        <v>168000</v>
      </c>
      <c r="P67" s="260">
        <f t="shared" si="71"/>
        <v>176400</v>
      </c>
      <c r="Q67" s="260">
        <v>0</v>
      </c>
      <c r="R67" s="119">
        <f t="shared" si="69"/>
        <v>176400</v>
      </c>
      <c r="S67" s="238">
        <f t="shared" si="56"/>
        <v>504400</v>
      </c>
      <c r="T67" s="238">
        <f t="shared" si="57"/>
        <v>0</v>
      </c>
      <c r="U67" s="238">
        <f t="shared" si="58"/>
        <v>504400</v>
      </c>
      <c r="V67" s="238">
        <f t="shared" si="59"/>
        <v>504400</v>
      </c>
      <c r="W67" s="238">
        <f t="shared" si="54"/>
        <v>0</v>
      </c>
      <c r="X67" s="238">
        <f t="shared" si="55"/>
        <v>504400</v>
      </c>
      <c r="Y67" s="96">
        <v>0</v>
      </c>
      <c r="Z67" s="238">
        <v>0</v>
      </c>
      <c r="AA67" s="256"/>
      <c r="AB67" s="238">
        <f t="shared" si="31"/>
        <v>0</v>
      </c>
      <c r="AC67" s="265">
        <f t="shared" si="23"/>
        <v>0</v>
      </c>
    </row>
    <row r="68" spans="1:92" ht="67.5" customHeight="1" x14ac:dyDescent="0.2">
      <c r="B68" s="100" t="s">
        <v>219</v>
      </c>
      <c r="C68" s="115" t="s">
        <v>506</v>
      </c>
      <c r="D68" s="101"/>
      <c r="E68" s="266" t="s">
        <v>469</v>
      </c>
      <c r="F68" s="103" t="s">
        <v>485</v>
      </c>
      <c r="G68" s="103" t="s">
        <v>402</v>
      </c>
      <c r="H68" s="103">
        <v>2024</v>
      </c>
      <c r="I68" s="103">
        <v>2026</v>
      </c>
      <c r="J68" s="260">
        <f>57*3*95000</f>
        <v>16245000</v>
      </c>
      <c r="K68" s="260">
        <v>0</v>
      </c>
      <c r="L68" s="119">
        <f t="shared" si="21"/>
        <v>16245000</v>
      </c>
      <c r="M68" s="260">
        <f t="shared" si="70"/>
        <v>17057250</v>
      </c>
      <c r="N68" s="260">
        <v>0</v>
      </c>
      <c r="O68" s="119">
        <f t="shared" si="68"/>
        <v>17057250</v>
      </c>
      <c r="P68" s="260">
        <f t="shared" si="71"/>
        <v>17910112.5</v>
      </c>
      <c r="Q68" s="260">
        <v>0</v>
      </c>
      <c r="R68" s="119">
        <f t="shared" si="69"/>
        <v>17910112.5</v>
      </c>
      <c r="S68" s="238">
        <f t="shared" si="56"/>
        <v>51212362.5</v>
      </c>
      <c r="T68" s="238">
        <f t="shared" si="57"/>
        <v>0</v>
      </c>
      <c r="U68" s="238">
        <f t="shared" si="58"/>
        <v>51212362.5</v>
      </c>
      <c r="V68" s="238">
        <f t="shared" si="59"/>
        <v>51212362.5</v>
      </c>
      <c r="W68" s="238">
        <f t="shared" si="54"/>
        <v>0</v>
      </c>
      <c r="X68" s="238">
        <f t="shared" si="55"/>
        <v>51212362.5</v>
      </c>
      <c r="Y68" s="96">
        <v>0</v>
      </c>
      <c r="Z68" s="238">
        <v>0</v>
      </c>
      <c r="AA68" s="256"/>
      <c r="AB68" s="238">
        <f t="shared" si="31"/>
        <v>0</v>
      </c>
      <c r="AC68" s="265">
        <f t="shared" si="23"/>
        <v>0</v>
      </c>
    </row>
    <row r="69" spans="1:92" ht="92.25" customHeight="1" x14ac:dyDescent="0.2">
      <c r="B69" s="100" t="s">
        <v>220</v>
      </c>
      <c r="C69" s="110" t="s">
        <v>222</v>
      </c>
      <c r="D69" s="101"/>
      <c r="E69" s="266" t="s">
        <v>469</v>
      </c>
      <c r="F69" s="103" t="s">
        <v>487</v>
      </c>
      <c r="G69" s="103" t="s">
        <v>402</v>
      </c>
      <c r="H69" s="103">
        <v>2025</v>
      </c>
      <c r="I69" s="103">
        <v>2026</v>
      </c>
      <c r="J69" s="260">
        <v>500000</v>
      </c>
      <c r="K69" s="260">
        <v>0</v>
      </c>
      <c r="L69" s="119">
        <f t="shared" si="21"/>
        <v>500000</v>
      </c>
      <c r="M69" s="260">
        <f t="shared" si="70"/>
        <v>525000</v>
      </c>
      <c r="N69" s="260">
        <v>0</v>
      </c>
      <c r="O69" s="119">
        <f t="shared" si="68"/>
        <v>525000</v>
      </c>
      <c r="P69" s="260">
        <f t="shared" si="71"/>
        <v>551250</v>
      </c>
      <c r="Q69" s="260">
        <v>0</v>
      </c>
      <c r="R69" s="119">
        <f t="shared" si="69"/>
        <v>551250</v>
      </c>
      <c r="S69" s="238">
        <f t="shared" si="56"/>
        <v>1576250</v>
      </c>
      <c r="T69" s="238">
        <f t="shared" si="57"/>
        <v>0</v>
      </c>
      <c r="U69" s="238">
        <f t="shared" si="58"/>
        <v>1576250</v>
      </c>
      <c r="V69" s="238">
        <f t="shared" si="59"/>
        <v>1576250</v>
      </c>
      <c r="W69" s="238">
        <f t="shared" si="54"/>
        <v>0</v>
      </c>
      <c r="X69" s="238">
        <f t="shared" si="55"/>
        <v>1576250</v>
      </c>
      <c r="Y69" s="96">
        <v>0</v>
      </c>
      <c r="Z69" s="238">
        <v>0</v>
      </c>
      <c r="AA69" s="256"/>
      <c r="AB69" s="238">
        <f t="shared" si="31"/>
        <v>0</v>
      </c>
      <c r="AC69" s="265">
        <f t="shared" si="23"/>
        <v>0</v>
      </c>
    </row>
    <row r="70" spans="1:92" ht="47.25" customHeight="1" x14ac:dyDescent="0.2">
      <c r="B70" s="100" t="s">
        <v>221</v>
      </c>
      <c r="C70" s="110" t="s">
        <v>224</v>
      </c>
      <c r="D70" s="101"/>
      <c r="E70" s="103" t="s">
        <v>476</v>
      </c>
      <c r="F70" s="102" t="s">
        <v>383</v>
      </c>
      <c r="G70" s="103" t="s">
        <v>404</v>
      </c>
      <c r="H70" s="103">
        <v>2024</v>
      </c>
      <c r="I70" s="103">
        <v>2026</v>
      </c>
      <c r="J70" s="260">
        <v>673770</v>
      </c>
      <c r="K70" s="260">
        <v>0</v>
      </c>
      <c r="L70" s="119">
        <f t="shared" si="21"/>
        <v>673770</v>
      </c>
      <c r="M70" s="260">
        <v>673770</v>
      </c>
      <c r="N70" s="260">
        <v>0</v>
      </c>
      <c r="O70" s="119">
        <f t="shared" si="68"/>
        <v>673770</v>
      </c>
      <c r="P70" s="260">
        <v>673770</v>
      </c>
      <c r="Q70" s="260">
        <v>0</v>
      </c>
      <c r="R70" s="119">
        <f t="shared" si="69"/>
        <v>673770</v>
      </c>
      <c r="S70" s="238">
        <f t="shared" si="56"/>
        <v>2021310</v>
      </c>
      <c r="T70" s="238">
        <f t="shared" si="57"/>
        <v>0</v>
      </c>
      <c r="U70" s="238">
        <f t="shared" si="58"/>
        <v>2021310</v>
      </c>
      <c r="V70" s="238">
        <f t="shared" si="59"/>
        <v>2021310</v>
      </c>
      <c r="W70" s="238">
        <f t="shared" si="54"/>
        <v>0</v>
      </c>
      <c r="X70" s="238">
        <f t="shared" si="55"/>
        <v>2021310</v>
      </c>
      <c r="Y70" s="96">
        <v>0</v>
      </c>
      <c r="Z70" s="238">
        <v>0</v>
      </c>
      <c r="AA70" s="256"/>
      <c r="AB70" s="238">
        <f t="shared" si="31"/>
        <v>0</v>
      </c>
      <c r="AC70" s="265">
        <f t="shared" si="23"/>
        <v>0</v>
      </c>
    </row>
    <row r="71" spans="1:92" ht="77.25" customHeight="1" x14ac:dyDescent="0.2">
      <c r="B71" s="100" t="s">
        <v>223</v>
      </c>
      <c r="C71" s="110" t="s">
        <v>226</v>
      </c>
      <c r="D71" s="101"/>
      <c r="E71" s="235" t="s">
        <v>433</v>
      </c>
      <c r="F71" s="103" t="s">
        <v>634</v>
      </c>
      <c r="G71" s="102" t="s">
        <v>405</v>
      </c>
      <c r="H71" s="103">
        <v>2024</v>
      </c>
      <c r="I71" s="103">
        <v>2026</v>
      </c>
      <c r="J71" s="260">
        <v>22323080</v>
      </c>
      <c r="K71" s="260">
        <v>0</v>
      </c>
      <c r="L71" s="119">
        <f t="shared" si="21"/>
        <v>22323080</v>
      </c>
      <c r="M71" s="260">
        <v>673770</v>
      </c>
      <c r="N71" s="260">
        <v>0</v>
      </c>
      <c r="O71" s="119">
        <f t="shared" ref="O71" si="72">M71+N71</f>
        <v>673770</v>
      </c>
      <c r="P71" s="260">
        <v>673770</v>
      </c>
      <c r="Q71" s="260">
        <v>0</v>
      </c>
      <c r="R71" s="119">
        <f t="shared" ref="R71" si="73">P71+Q71</f>
        <v>673770</v>
      </c>
      <c r="S71" s="238">
        <f t="shared" si="56"/>
        <v>23670620</v>
      </c>
      <c r="T71" s="238">
        <f t="shared" si="57"/>
        <v>0</v>
      </c>
      <c r="U71" s="238">
        <f t="shared" si="58"/>
        <v>23670620</v>
      </c>
      <c r="V71" s="238">
        <f t="shared" si="59"/>
        <v>23670620</v>
      </c>
      <c r="W71" s="238">
        <f t="shared" si="54"/>
        <v>0</v>
      </c>
      <c r="X71" s="238">
        <f t="shared" si="55"/>
        <v>23670620</v>
      </c>
      <c r="Y71" s="96">
        <v>0</v>
      </c>
      <c r="Z71" s="238">
        <v>0</v>
      </c>
      <c r="AA71" s="256"/>
      <c r="AB71" s="238">
        <f t="shared" si="31"/>
        <v>0</v>
      </c>
      <c r="AC71" s="265">
        <f t="shared" si="23"/>
        <v>0</v>
      </c>
    </row>
    <row r="72" spans="1:92" ht="75.75" customHeight="1" x14ac:dyDescent="0.2">
      <c r="B72" s="100" t="s">
        <v>225</v>
      </c>
      <c r="C72" s="110" t="s">
        <v>444</v>
      </c>
      <c r="D72" s="101"/>
      <c r="E72" s="233" t="s">
        <v>433</v>
      </c>
      <c r="F72" s="102" t="s">
        <v>406</v>
      </c>
      <c r="G72" s="103" t="s">
        <v>407</v>
      </c>
      <c r="H72" s="103">
        <v>2024</v>
      </c>
      <c r="I72" s="103">
        <v>2026</v>
      </c>
      <c r="J72" s="260">
        <v>300000</v>
      </c>
      <c r="K72" s="260">
        <v>0</v>
      </c>
      <c r="L72" s="119">
        <f>J72+K72</f>
        <v>300000</v>
      </c>
      <c r="M72" s="260">
        <v>26787700</v>
      </c>
      <c r="N72" s="260">
        <v>0</v>
      </c>
      <c r="O72" s="119">
        <f>M72+N72</f>
        <v>26787700</v>
      </c>
      <c r="P72" s="260">
        <v>32145200</v>
      </c>
      <c r="Q72" s="260">
        <v>0</v>
      </c>
      <c r="R72" s="119">
        <f>P72+Q72</f>
        <v>32145200</v>
      </c>
      <c r="S72" s="238">
        <f t="shared" si="56"/>
        <v>59232900</v>
      </c>
      <c r="T72" s="238">
        <f t="shared" si="57"/>
        <v>0</v>
      </c>
      <c r="U72" s="238">
        <f t="shared" si="58"/>
        <v>59232900</v>
      </c>
      <c r="V72" s="238">
        <f t="shared" si="59"/>
        <v>59232900</v>
      </c>
      <c r="W72" s="238">
        <f t="shared" si="54"/>
        <v>0</v>
      </c>
      <c r="X72" s="238">
        <f t="shared" si="55"/>
        <v>59232900</v>
      </c>
      <c r="Y72" s="96">
        <v>0</v>
      </c>
      <c r="Z72" s="238">
        <v>0</v>
      </c>
      <c r="AA72" s="256"/>
      <c r="AB72" s="238">
        <f t="shared" si="31"/>
        <v>0</v>
      </c>
      <c r="AC72" s="265">
        <f t="shared" si="23"/>
        <v>0</v>
      </c>
    </row>
    <row r="73" spans="1:92" ht="63.75" customHeight="1" x14ac:dyDescent="0.2">
      <c r="B73" s="100" t="s">
        <v>227</v>
      </c>
      <c r="C73" s="110" t="s">
        <v>507</v>
      </c>
      <c r="D73" s="101"/>
      <c r="E73" s="233" t="s">
        <v>638</v>
      </c>
      <c r="F73" s="102" t="s">
        <v>409</v>
      </c>
      <c r="G73" s="102" t="s">
        <v>408</v>
      </c>
      <c r="H73" s="103">
        <v>2024</v>
      </c>
      <c r="I73" s="103">
        <v>2026</v>
      </c>
      <c r="J73" s="260">
        <f>546000/3</f>
        <v>182000</v>
      </c>
      <c r="K73" s="260">
        <v>0</v>
      </c>
      <c r="L73" s="119">
        <f t="shared" si="21"/>
        <v>182000</v>
      </c>
      <c r="M73" s="260">
        <f>546000/3</f>
        <v>182000</v>
      </c>
      <c r="N73" s="260">
        <v>0</v>
      </c>
      <c r="O73" s="119">
        <f t="shared" ref="O73" si="74">M73+N73</f>
        <v>182000</v>
      </c>
      <c r="P73" s="260">
        <f>546000/3</f>
        <v>182000</v>
      </c>
      <c r="Q73" s="260">
        <v>0</v>
      </c>
      <c r="R73" s="119">
        <f t="shared" ref="R73" si="75">P73+Q73</f>
        <v>182000</v>
      </c>
      <c r="S73" s="260">
        <f>J73+M73+P73</f>
        <v>546000</v>
      </c>
      <c r="T73" s="238">
        <f t="shared" si="57"/>
        <v>0</v>
      </c>
      <c r="U73" s="238">
        <f t="shared" si="58"/>
        <v>546000</v>
      </c>
      <c r="V73" s="238">
        <f t="shared" si="59"/>
        <v>546000</v>
      </c>
      <c r="W73" s="238">
        <f t="shared" si="54"/>
        <v>0</v>
      </c>
      <c r="X73" s="238">
        <f t="shared" si="55"/>
        <v>546000</v>
      </c>
      <c r="Y73" s="96">
        <v>0</v>
      </c>
      <c r="Z73" s="238">
        <v>0</v>
      </c>
      <c r="AA73" s="256"/>
      <c r="AB73" s="238">
        <f t="shared" si="31"/>
        <v>0</v>
      </c>
      <c r="AC73" s="265">
        <f t="shared" si="23"/>
        <v>0</v>
      </c>
    </row>
    <row r="74" spans="1:92" ht="51" customHeight="1" x14ac:dyDescent="0.2">
      <c r="B74" s="100" t="s">
        <v>228</v>
      </c>
      <c r="C74" s="101" t="s">
        <v>230</v>
      </c>
      <c r="D74" s="101"/>
      <c r="E74" s="233" t="s">
        <v>639</v>
      </c>
      <c r="F74" s="103" t="s">
        <v>410</v>
      </c>
      <c r="G74" s="102" t="s">
        <v>408</v>
      </c>
      <c r="H74" s="103">
        <v>2024</v>
      </c>
      <c r="I74" s="103">
        <v>2026</v>
      </c>
      <c r="J74" s="260">
        <f>12850000/3</f>
        <v>4283333.333333333</v>
      </c>
      <c r="K74" s="260">
        <v>0</v>
      </c>
      <c r="L74" s="119">
        <f>J74+K74</f>
        <v>4283333.333333333</v>
      </c>
      <c r="M74" s="260">
        <f>12850000/3</f>
        <v>4283333.333333333</v>
      </c>
      <c r="N74" s="260">
        <v>0</v>
      </c>
      <c r="O74" s="119">
        <f>M74+N74</f>
        <v>4283333.333333333</v>
      </c>
      <c r="P74" s="260">
        <f>12850000/3</f>
        <v>4283333.333333333</v>
      </c>
      <c r="Q74" s="260">
        <v>0</v>
      </c>
      <c r="R74" s="119">
        <f>P74+Q74</f>
        <v>4283333.333333333</v>
      </c>
      <c r="S74" s="260">
        <f t="shared" si="56"/>
        <v>12850000</v>
      </c>
      <c r="T74" s="238">
        <f t="shared" si="57"/>
        <v>0</v>
      </c>
      <c r="U74" s="238">
        <f t="shared" si="58"/>
        <v>12850000</v>
      </c>
      <c r="V74" s="238">
        <f t="shared" si="59"/>
        <v>12850000</v>
      </c>
      <c r="W74" s="238">
        <f t="shared" si="54"/>
        <v>0</v>
      </c>
      <c r="X74" s="238">
        <f t="shared" si="55"/>
        <v>12850000</v>
      </c>
      <c r="Y74" s="96">
        <v>0</v>
      </c>
      <c r="Z74" s="238">
        <v>0</v>
      </c>
      <c r="AA74" s="256"/>
      <c r="AB74" s="238">
        <f t="shared" si="31"/>
        <v>0</v>
      </c>
      <c r="AC74" s="265">
        <f t="shared" si="23"/>
        <v>0</v>
      </c>
    </row>
    <row r="75" spans="1:92" ht="51.75" customHeight="1" x14ac:dyDescent="0.2">
      <c r="B75" s="100" t="s">
        <v>229</v>
      </c>
      <c r="C75" s="101" t="s">
        <v>446</v>
      </c>
      <c r="D75" s="101"/>
      <c r="E75" s="233" t="s">
        <v>635</v>
      </c>
      <c r="F75" s="103" t="s">
        <v>454</v>
      </c>
      <c r="G75" s="103" t="s">
        <v>454</v>
      </c>
      <c r="H75" s="103">
        <v>2024</v>
      </c>
      <c r="I75" s="103">
        <v>2026</v>
      </c>
      <c r="J75" s="260">
        <f>102000/5</f>
        <v>20400</v>
      </c>
      <c r="K75" s="260">
        <v>0</v>
      </c>
      <c r="L75" s="119">
        <f>J75+K75</f>
        <v>20400</v>
      </c>
      <c r="M75" s="260">
        <f>102000/5</f>
        <v>20400</v>
      </c>
      <c r="N75" s="260">
        <v>0</v>
      </c>
      <c r="O75" s="119">
        <f>M75+N75</f>
        <v>20400</v>
      </c>
      <c r="P75" s="260">
        <f>102000/5</f>
        <v>20400</v>
      </c>
      <c r="Q75" s="260">
        <v>0</v>
      </c>
      <c r="R75" s="119">
        <f>P75+Q75</f>
        <v>20400</v>
      </c>
      <c r="S75" s="260">
        <f t="shared" si="56"/>
        <v>61200</v>
      </c>
      <c r="T75" s="238">
        <f t="shared" si="57"/>
        <v>0</v>
      </c>
      <c r="U75" s="238">
        <f t="shared" si="58"/>
        <v>61200</v>
      </c>
      <c r="V75" s="238">
        <f t="shared" si="59"/>
        <v>61200</v>
      </c>
      <c r="W75" s="238">
        <f t="shared" si="54"/>
        <v>0</v>
      </c>
      <c r="X75" s="238">
        <f t="shared" si="55"/>
        <v>61200</v>
      </c>
      <c r="Y75" s="96">
        <v>0</v>
      </c>
      <c r="Z75" s="238">
        <v>0</v>
      </c>
      <c r="AA75" s="256"/>
      <c r="AB75" s="238">
        <f t="shared" si="31"/>
        <v>0</v>
      </c>
      <c r="AC75" s="265">
        <f t="shared" si="23"/>
        <v>0</v>
      </c>
    </row>
    <row r="76" spans="1:92" ht="51.75" customHeight="1" x14ac:dyDescent="0.2">
      <c r="B76" s="100" t="s">
        <v>445</v>
      </c>
      <c r="C76" s="101" t="s">
        <v>448</v>
      </c>
      <c r="D76" s="101"/>
      <c r="E76" s="233" t="s">
        <v>635</v>
      </c>
      <c r="F76" s="116" t="s">
        <v>454</v>
      </c>
      <c r="G76" s="103" t="s">
        <v>555</v>
      </c>
      <c r="H76" s="103">
        <v>2024</v>
      </c>
      <c r="I76" s="103">
        <v>2026</v>
      </c>
      <c r="J76" s="260">
        <v>20400</v>
      </c>
      <c r="K76" s="260">
        <v>0</v>
      </c>
      <c r="L76" s="119">
        <f t="shared" ref="L76:L79" si="76">J76+K76</f>
        <v>20400</v>
      </c>
      <c r="M76" s="260">
        <v>20400</v>
      </c>
      <c r="N76" s="260">
        <v>0</v>
      </c>
      <c r="O76" s="119">
        <f t="shared" ref="O76:O79" si="77">M76+N76</f>
        <v>20400</v>
      </c>
      <c r="P76" s="260">
        <v>20400</v>
      </c>
      <c r="Q76" s="260">
        <v>0</v>
      </c>
      <c r="R76" s="119">
        <f t="shared" ref="R76:R79" si="78">P76+Q76</f>
        <v>20400</v>
      </c>
      <c r="S76" s="260">
        <f t="shared" si="56"/>
        <v>61200</v>
      </c>
      <c r="T76" s="238">
        <f t="shared" si="57"/>
        <v>0</v>
      </c>
      <c r="U76" s="238">
        <f t="shared" si="58"/>
        <v>61200</v>
      </c>
      <c r="V76" s="238">
        <f t="shared" si="59"/>
        <v>61200</v>
      </c>
      <c r="W76" s="238">
        <f t="shared" si="54"/>
        <v>0</v>
      </c>
      <c r="X76" s="238">
        <f t="shared" si="55"/>
        <v>61200</v>
      </c>
      <c r="Y76" s="96">
        <v>0</v>
      </c>
      <c r="Z76" s="238">
        <v>0</v>
      </c>
      <c r="AA76" s="256"/>
      <c r="AB76" s="238">
        <f t="shared" si="31"/>
        <v>0</v>
      </c>
      <c r="AC76" s="265"/>
    </row>
    <row r="77" spans="1:92" ht="51.75" customHeight="1" x14ac:dyDescent="0.2">
      <c r="B77" s="100" t="s">
        <v>447</v>
      </c>
      <c r="C77" s="101" t="s">
        <v>450</v>
      </c>
      <c r="D77" s="101"/>
      <c r="E77" s="233" t="s">
        <v>635</v>
      </c>
      <c r="F77" s="103" t="s">
        <v>454</v>
      </c>
      <c r="G77" s="103" t="s">
        <v>455</v>
      </c>
      <c r="H77" s="103">
        <v>2024</v>
      </c>
      <c r="I77" s="103">
        <v>2026</v>
      </c>
      <c r="J77" s="260">
        <v>20400</v>
      </c>
      <c r="K77" s="260">
        <v>0</v>
      </c>
      <c r="L77" s="119">
        <f t="shared" si="76"/>
        <v>20400</v>
      </c>
      <c r="M77" s="260">
        <v>20400</v>
      </c>
      <c r="N77" s="260">
        <v>0</v>
      </c>
      <c r="O77" s="119">
        <f t="shared" si="77"/>
        <v>20400</v>
      </c>
      <c r="P77" s="260">
        <v>20400</v>
      </c>
      <c r="Q77" s="260">
        <v>0</v>
      </c>
      <c r="R77" s="119">
        <f t="shared" si="78"/>
        <v>20400</v>
      </c>
      <c r="S77" s="260">
        <f t="shared" si="56"/>
        <v>61200</v>
      </c>
      <c r="T77" s="238">
        <f t="shared" si="57"/>
        <v>0</v>
      </c>
      <c r="U77" s="238">
        <f t="shared" si="58"/>
        <v>61200</v>
      </c>
      <c r="V77" s="238">
        <f t="shared" si="59"/>
        <v>61200</v>
      </c>
      <c r="W77" s="238">
        <f t="shared" si="54"/>
        <v>0</v>
      </c>
      <c r="X77" s="238">
        <f t="shared" si="55"/>
        <v>61200</v>
      </c>
      <c r="Y77" s="96">
        <v>0</v>
      </c>
      <c r="Z77" s="238">
        <v>0</v>
      </c>
      <c r="AA77" s="256"/>
      <c r="AB77" s="238">
        <f t="shared" si="31"/>
        <v>0</v>
      </c>
      <c r="AC77" s="265"/>
    </row>
    <row r="78" spans="1:92" ht="62.25" customHeight="1" x14ac:dyDescent="0.2">
      <c r="B78" s="100" t="s">
        <v>449</v>
      </c>
      <c r="C78" s="101" t="s">
        <v>452</v>
      </c>
      <c r="D78" s="101"/>
      <c r="E78" s="233" t="s">
        <v>635</v>
      </c>
      <c r="F78" s="103" t="s">
        <v>454</v>
      </c>
      <c r="G78" s="103" t="s">
        <v>456</v>
      </c>
      <c r="H78" s="103">
        <v>2024</v>
      </c>
      <c r="I78" s="103">
        <v>2026</v>
      </c>
      <c r="J78" s="260">
        <v>20400</v>
      </c>
      <c r="K78" s="260">
        <v>0</v>
      </c>
      <c r="L78" s="119">
        <f t="shared" si="76"/>
        <v>20400</v>
      </c>
      <c r="M78" s="260">
        <v>20400</v>
      </c>
      <c r="N78" s="260">
        <v>0</v>
      </c>
      <c r="O78" s="119">
        <f t="shared" si="77"/>
        <v>20400</v>
      </c>
      <c r="P78" s="260">
        <v>20400</v>
      </c>
      <c r="Q78" s="260">
        <v>0</v>
      </c>
      <c r="R78" s="119">
        <f t="shared" si="78"/>
        <v>20400</v>
      </c>
      <c r="S78" s="260">
        <f t="shared" si="56"/>
        <v>61200</v>
      </c>
      <c r="T78" s="238">
        <f t="shared" si="57"/>
        <v>0</v>
      </c>
      <c r="U78" s="238">
        <f t="shared" si="58"/>
        <v>61200</v>
      </c>
      <c r="V78" s="238">
        <f t="shared" si="59"/>
        <v>61200</v>
      </c>
      <c r="W78" s="238">
        <f t="shared" si="54"/>
        <v>0</v>
      </c>
      <c r="X78" s="238">
        <f t="shared" si="55"/>
        <v>61200</v>
      </c>
      <c r="Y78" s="96">
        <v>0</v>
      </c>
      <c r="Z78" s="238">
        <v>0</v>
      </c>
      <c r="AA78" s="256"/>
      <c r="AB78" s="238">
        <f t="shared" si="31"/>
        <v>0</v>
      </c>
      <c r="AC78" s="265"/>
    </row>
    <row r="79" spans="1:92" ht="51.75" customHeight="1" x14ac:dyDescent="0.2">
      <c r="B79" s="100" t="s">
        <v>451</v>
      </c>
      <c r="C79" s="101" t="s">
        <v>453</v>
      </c>
      <c r="D79" s="101"/>
      <c r="E79" s="233" t="s">
        <v>635</v>
      </c>
      <c r="F79" s="103" t="s">
        <v>454</v>
      </c>
      <c r="G79" s="103" t="s">
        <v>456</v>
      </c>
      <c r="H79" s="103">
        <v>2024</v>
      </c>
      <c r="I79" s="103">
        <v>2026</v>
      </c>
      <c r="J79" s="260">
        <v>20400</v>
      </c>
      <c r="K79" s="260">
        <v>0</v>
      </c>
      <c r="L79" s="119">
        <f t="shared" si="76"/>
        <v>20400</v>
      </c>
      <c r="M79" s="260">
        <v>20400</v>
      </c>
      <c r="N79" s="260">
        <v>0</v>
      </c>
      <c r="O79" s="119">
        <f t="shared" si="77"/>
        <v>20400</v>
      </c>
      <c r="P79" s="260">
        <v>20400</v>
      </c>
      <c r="Q79" s="260">
        <v>0</v>
      </c>
      <c r="R79" s="119">
        <f t="shared" si="78"/>
        <v>20400</v>
      </c>
      <c r="S79" s="238">
        <f t="shared" si="56"/>
        <v>61200</v>
      </c>
      <c r="T79" s="238">
        <f t="shared" si="57"/>
        <v>0</v>
      </c>
      <c r="U79" s="238">
        <f t="shared" si="58"/>
        <v>61200</v>
      </c>
      <c r="V79" s="238">
        <f t="shared" si="59"/>
        <v>61200</v>
      </c>
      <c r="W79" s="238">
        <f t="shared" si="54"/>
        <v>0</v>
      </c>
      <c r="X79" s="238">
        <f t="shared" si="55"/>
        <v>61200</v>
      </c>
      <c r="Y79" s="96">
        <v>0</v>
      </c>
      <c r="Z79" s="238">
        <v>0</v>
      </c>
      <c r="AA79" s="256"/>
      <c r="AB79" s="238">
        <f t="shared" si="31"/>
        <v>0</v>
      </c>
      <c r="AC79" s="265"/>
    </row>
    <row r="80" spans="1:92" s="23" customFormat="1" ht="26.25" customHeight="1" x14ac:dyDescent="0.2">
      <c r="A80" s="7"/>
      <c r="B80" s="250"/>
      <c r="C80" s="267" t="s">
        <v>79</v>
      </c>
      <c r="D80" s="125"/>
      <c r="E80" s="125"/>
      <c r="F80" s="125"/>
      <c r="G80" s="125"/>
      <c r="H80" s="125"/>
      <c r="I80" s="125"/>
      <c r="J80" s="268">
        <f>SUM(J31:J79)</f>
        <v>817155353.345613</v>
      </c>
      <c r="K80" s="268">
        <f t="shared" ref="K80:AC80" si="79">SUM(K31:K79)</f>
        <v>42000</v>
      </c>
      <c r="L80" s="268">
        <f t="shared" si="79"/>
        <v>817197353.345613</v>
      </c>
      <c r="M80" s="268">
        <f t="shared" si="79"/>
        <v>828212191.41192651</v>
      </c>
      <c r="N80" s="268">
        <f t="shared" si="79"/>
        <v>286757</v>
      </c>
      <c r="O80" s="268">
        <f t="shared" si="79"/>
        <v>828498948.41192651</v>
      </c>
      <c r="P80" s="268">
        <f t="shared" si="79"/>
        <v>833135172.79074895</v>
      </c>
      <c r="Q80" s="268">
        <f t="shared" si="79"/>
        <v>161045.34338240474</v>
      </c>
      <c r="R80" s="268">
        <f t="shared" si="79"/>
        <v>833296218.13413131</v>
      </c>
      <c r="S80" s="268">
        <f t="shared" si="79"/>
        <v>2478502717.5482883</v>
      </c>
      <c r="T80" s="268">
        <f t="shared" si="79"/>
        <v>489802.34338240471</v>
      </c>
      <c r="U80" s="268">
        <f t="shared" si="79"/>
        <v>2478992519.8916712</v>
      </c>
      <c r="V80" s="268">
        <f t="shared" si="79"/>
        <v>2478502717.5482883</v>
      </c>
      <c r="W80" s="268">
        <f t="shared" si="79"/>
        <v>489802.34338240471</v>
      </c>
      <c r="X80" s="268">
        <f>SUM(X31:X79)</f>
        <v>2478992519.8916712</v>
      </c>
      <c r="Y80" s="268">
        <f t="shared" si="79"/>
        <v>0</v>
      </c>
      <c r="Z80" s="268">
        <f t="shared" si="79"/>
        <v>0</v>
      </c>
      <c r="AA80" s="268">
        <f t="shared" si="79"/>
        <v>0</v>
      </c>
      <c r="AB80" s="268">
        <f t="shared" si="79"/>
        <v>0</v>
      </c>
      <c r="AC80" s="268">
        <f t="shared" si="79"/>
        <v>0</v>
      </c>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row>
    <row r="81" spans="2:29" ht="39" customHeight="1" x14ac:dyDescent="0.2">
      <c r="B81" s="86"/>
      <c r="C81" s="269" t="s">
        <v>231</v>
      </c>
      <c r="D81" s="101"/>
      <c r="E81" s="103"/>
      <c r="F81" s="103"/>
      <c r="G81" s="103"/>
      <c r="H81" s="103"/>
      <c r="I81" s="103"/>
      <c r="J81" s="260"/>
      <c r="K81" s="260"/>
      <c r="L81" s="119"/>
      <c r="M81" s="260"/>
      <c r="N81" s="260"/>
      <c r="O81" s="119"/>
      <c r="P81" s="260"/>
      <c r="Q81" s="119"/>
      <c r="R81" s="119"/>
      <c r="S81" s="119"/>
      <c r="T81" s="119"/>
      <c r="U81" s="119"/>
      <c r="V81" s="119"/>
      <c r="W81" s="119"/>
      <c r="X81" s="119"/>
      <c r="Y81" s="119"/>
      <c r="Z81" s="119"/>
      <c r="AA81" s="119"/>
      <c r="AB81" s="119"/>
      <c r="AC81" s="265"/>
    </row>
    <row r="82" spans="2:29" ht="35.25" customHeight="1" x14ac:dyDescent="0.2">
      <c r="B82" s="86"/>
      <c r="C82" s="270" t="s">
        <v>232</v>
      </c>
      <c r="D82" s="101"/>
      <c r="E82" s="103"/>
      <c r="F82" s="103"/>
      <c r="G82" s="103"/>
      <c r="H82" s="103"/>
      <c r="I82" s="103"/>
      <c r="J82" s="260"/>
      <c r="K82" s="260"/>
      <c r="L82" s="119"/>
      <c r="M82" s="260"/>
      <c r="N82" s="260"/>
      <c r="O82" s="119"/>
      <c r="P82" s="260"/>
      <c r="Q82" s="119"/>
      <c r="R82" s="119"/>
      <c r="S82" s="119"/>
      <c r="T82" s="119"/>
      <c r="U82" s="119"/>
      <c r="V82" s="119"/>
      <c r="W82" s="119"/>
      <c r="X82" s="119"/>
      <c r="Y82" s="119"/>
      <c r="Z82" s="119"/>
      <c r="AA82" s="119"/>
      <c r="AB82" s="119"/>
      <c r="AC82" s="265"/>
    </row>
    <row r="83" spans="2:29" ht="44.25" customHeight="1" x14ac:dyDescent="0.2">
      <c r="B83" s="89" t="s">
        <v>233</v>
      </c>
      <c r="C83" s="107" t="s">
        <v>234</v>
      </c>
      <c r="D83" s="101"/>
      <c r="E83" s="262" t="s">
        <v>633</v>
      </c>
      <c r="F83" s="103" t="s">
        <v>396</v>
      </c>
      <c r="G83" s="103" t="s">
        <v>557</v>
      </c>
      <c r="H83" s="117">
        <v>2024</v>
      </c>
      <c r="I83" s="103">
        <v>2026</v>
      </c>
      <c r="J83" s="119">
        <v>370015</v>
      </c>
      <c r="K83" s="119">
        <v>7359</v>
      </c>
      <c r="L83" s="119">
        <f>J83+K83</f>
        <v>377374</v>
      </c>
      <c r="M83" s="119">
        <v>406346</v>
      </c>
      <c r="N83" s="119">
        <v>48427</v>
      </c>
      <c r="O83" s="119">
        <f>M83+N83</f>
        <v>454773</v>
      </c>
      <c r="P83" s="119">
        <v>406346</v>
      </c>
      <c r="Q83" s="119">
        <v>25911</v>
      </c>
      <c r="R83" s="119">
        <f>P83+Q83</f>
        <v>432257</v>
      </c>
      <c r="S83" s="238">
        <f t="shared" ref="S83" si="80">J83+M83+P83</f>
        <v>1182707</v>
      </c>
      <c r="T83" s="238">
        <f t="shared" ref="T83" si="81">K83+N83+Q83</f>
        <v>81697</v>
      </c>
      <c r="U83" s="238">
        <f t="shared" ref="U83" si="82">S83+T83</f>
        <v>1264404</v>
      </c>
      <c r="V83" s="238">
        <f t="shared" ref="V83" si="83">S83</f>
        <v>1182707</v>
      </c>
      <c r="W83" s="238">
        <f t="shared" ref="W83" si="84">T83</f>
        <v>81697</v>
      </c>
      <c r="X83" s="238">
        <f t="shared" ref="X83" si="85">V83+W83</f>
        <v>1264404</v>
      </c>
      <c r="Y83" s="119">
        <v>0</v>
      </c>
      <c r="Z83" s="119">
        <v>0</v>
      </c>
      <c r="AA83" s="119"/>
      <c r="AB83" s="119">
        <f t="shared" ref="AB83:AB104" si="86">Y83+Z83</f>
        <v>0</v>
      </c>
      <c r="AC83" s="265">
        <f t="shared" ref="AC83:AC127" si="87">U83-X83-AB83</f>
        <v>0</v>
      </c>
    </row>
    <row r="84" spans="2:29" ht="53.25" customHeight="1" x14ac:dyDescent="0.2">
      <c r="B84" s="86" t="s">
        <v>235</v>
      </c>
      <c r="C84" s="110" t="s">
        <v>236</v>
      </c>
      <c r="D84" s="101"/>
      <c r="E84" s="262" t="s">
        <v>633</v>
      </c>
      <c r="F84" s="103" t="s">
        <v>396</v>
      </c>
      <c r="G84" s="103" t="s">
        <v>556</v>
      </c>
      <c r="H84" s="117">
        <v>2024</v>
      </c>
      <c r="I84" s="103">
        <v>2026</v>
      </c>
      <c r="J84" s="119">
        <v>48200</v>
      </c>
      <c r="K84" s="119">
        <v>959</v>
      </c>
      <c r="L84" s="119">
        <f t="shared" ref="L84:L95" si="88">J84+K84</f>
        <v>49159</v>
      </c>
      <c r="M84" s="119">
        <v>52932</v>
      </c>
      <c r="N84" s="119">
        <v>6308</v>
      </c>
      <c r="O84" s="119">
        <f t="shared" ref="O84:O95" si="89">M84+N84</f>
        <v>59240</v>
      </c>
      <c r="P84" s="119">
        <v>52932</v>
      </c>
      <c r="Q84" s="119">
        <v>3375</v>
      </c>
      <c r="R84" s="119">
        <f t="shared" ref="R84:R95" si="90">P84+Q84</f>
        <v>56307</v>
      </c>
      <c r="S84" s="238">
        <f t="shared" ref="S84:S95" si="91">J84+M84+P84</f>
        <v>154064</v>
      </c>
      <c r="T84" s="238">
        <f t="shared" ref="T84:T95" si="92">K84+N84+Q84</f>
        <v>10642</v>
      </c>
      <c r="U84" s="238">
        <f t="shared" ref="U84:U95" si="93">S84+T84</f>
        <v>164706</v>
      </c>
      <c r="V84" s="238">
        <f t="shared" ref="V84:V95" si="94">S84</f>
        <v>154064</v>
      </c>
      <c r="W84" s="238">
        <f t="shared" ref="W84:W95" si="95">T84</f>
        <v>10642</v>
      </c>
      <c r="X84" s="238">
        <f t="shared" ref="X84:X95" si="96">V84+W84</f>
        <v>164706</v>
      </c>
      <c r="Y84" s="119">
        <v>0</v>
      </c>
      <c r="Z84" s="119">
        <v>0</v>
      </c>
      <c r="AA84" s="119"/>
      <c r="AB84" s="119">
        <f t="shared" si="86"/>
        <v>0</v>
      </c>
      <c r="AC84" s="265">
        <f t="shared" si="87"/>
        <v>0</v>
      </c>
    </row>
    <row r="85" spans="2:29" ht="53.25" customHeight="1" x14ac:dyDescent="0.2">
      <c r="B85" s="89" t="s">
        <v>237</v>
      </c>
      <c r="C85" s="104" t="s">
        <v>509</v>
      </c>
      <c r="D85" s="101"/>
      <c r="E85" s="103" t="s">
        <v>476</v>
      </c>
      <c r="F85" s="103" t="s">
        <v>411</v>
      </c>
      <c r="G85" s="103" t="s">
        <v>558</v>
      </c>
      <c r="H85" s="117">
        <v>2024</v>
      </c>
      <c r="I85" s="103">
        <v>2026</v>
      </c>
      <c r="J85" s="260">
        <v>29543900</v>
      </c>
      <c r="K85" s="260">
        <v>0</v>
      </c>
      <c r="L85" s="119">
        <f t="shared" si="88"/>
        <v>29543900</v>
      </c>
      <c r="M85" s="260">
        <v>29543900</v>
      </c>
      <c r="N85" s="260">
        <v>0</v>
      </c>
      <c r="O85" s="119">
        <f t="shared" si="89"/>
        <v>29543900</v>
      </c>
      <c r="P85" s="260">
        <v>29543900</v>
      </c>
      <c r="Q85" s="260">
        <v>0</v>
      </c>
      <c r="R85" s="119">
        <f t="shared" si="90"/>
        <v>29543900</v>
      </c>
      <c r="S85" s="238">
        <f t="shared" si="91"/>
        <v>88631700</v>
      </c>
      <c r="T85" s="238">
        <f t="shared" si="92"/>
        <v>0</v>
      </c>
      <c r="U85" s="238">
        <f t="shared" si="93"/>
        <v>88631700</v>
      </c>
      <c r="V85" s="238">
        <f t="shared" si="94"/>
        <v>88631700</v>
      </c>
      <c r="W85" s="238">
        <f t="shared" si="95"/>
        <v>0</v>
      </c>
      <c r="X85" s="238">
        <f t="shared" si="96"/>
        <v>88631700</v>
      </c>
      <c r="Y85" s="119">
        <v>0</v>
      </c>
      <c r="Z85" s="119">
        <v>0</v>
      </c>
      <c r="AA85" s="119"/>
      <c r="AB85" s="119">
        <f t="shared" si="86"/>
        <v>0</v>
      </c>
      <c r="AC85" s="265">
        <f t="shared" si="87"/>
        <v>0</v>
      </c>
    </row>
    <row r="86" spans="2:29" ht="36.75" customHeight="1" x14ac:dyDescent="0.2">
      <c r="B86" s="89" t="s">
        <v>238</v>
      </c>
      <c r="C86" s="104" t="s">
        <v>239</v>
      </c>
      <c r="D86" s="101"/>
      <c r="E86" s="103" t="s">
        <v>476</v>
      </c>
      <c r="F86" s="103" t="s">
        <v>411</v>
      </c>
      <c r="G86" s="103" t="s">
        <v>412</v>
      </c>
      <c r="H86" s="117">
        <v>2024</v>
      </c>
      <c r="I86" s="103">
        <v>2026</v>
      </c>
      <c r="J86" s="260">
        <v>1191400</v>
      </c>
      <c r="K86" s="260">
        <v>0</v>
      </c>
      <c r="L86" s="119">
        <f t="shared" si="88"/>
        <v>1191400</v>
      </c>
      <c r="M86" s="260">
        <v>1191400</v>
      </c>
      <c r="N86" s="260">
        <v>0</v>
      </c>
      <c r="O86" s="119">
        <f t="shared" si="89"/>
        <v>1191400</v>
      </c>
      <c r="P86" s="260">
        <v>1191400</v>
      </c>
      <c r="Q86" s="260">
        <v>0</v>
      </c>
      <c r="R86" s="119">
        <f t="shared" si="90"/>
        <v>1191400</v>
      </c>
      <c r="S86" s="238">
        <f t="shared" si="91"/>
        <v>3574200</v>
      </c>
      <c r="T86" s="238">
        <f t="shared" si="92"/>
        <v>0</v>
      </c>
      <c r="U86" s="238">
        <f t="shared" si="93"/>
        <v>3574200</v>
      </c>
      <c r="V86" s="238">
        <f t="shared" si="94"/>
        <v>3574200</v>
      </c>
      <c r="W86" s="238">
        <f t="shared" si="95"/>
        <v>0</v>
      </c>
      <c r="X86" s="238">
        <f t="shared" si="96"/>
        <v>3574200</v>
      </c>
      <c r="Y86" s="119">
        <v>0</v>
      </c>
      <c r="Z86" s="119">
        <v>0</v>
      </c>
      <c r="AA86" s="119"/>
      <c r="AB86" s="119">
        <f t="shared" si="86"/>
        <v>0</v>
      </c>
      <c r="AC86" s="265">
        <f t="shared" si="87"/>
        <v>0</v>
      </c>
    </row>
    <row r="87" spans="2:29" ht="34.5" customHeight="1" x14ac:dyDescent="0.2">
      <c r="B87" s="89" t="s">
        <v>240</v>
      </c>
      <c r="C87" s="104" t="s">
        <v>241</v>
      </c>
      <c r="D87" s="101"/>
      <c r="E87" s="263" t="s">
        <v>632</v>
      </c>
      <c r="F87" s="103" t="s">
        <v>391</v>
      </c>
      <c r="G87" s="103" t="s">
        <v>559</v>
      </c>
      <c r="H87" s="117">
        <v>2024</v>
      </c>
      <c r="I87" s="103">
        <v>2026</v>
      </c>
      <c r="J87" s="271">
        <v>355000</v>
      </c>
      <c r="K87" s="260">
        <v>0</v>
      </c>
      <c r="L87" s="119">
        <f t="shared" si="88"/>
        <v>355000</v>
      </c>
      <c r="M87" s="260">
        <v>355000</v>
      </c>
      <c r="N87" s="260">
        <v>0</v>
      </c>
      <c r="O87" s="119">
        <f t="shared" si="89"/>
        <v>355000</v>
      </c>
      <c r="P87" s="260">
        <v>355000</v>
      </c>
      <c r="Q87" s="260">
        <v>0</v>
      </c>
      <c r="R87" s="119">
        <f t="shared" si="90"/>
        <v>355000</v>
      </c>
      <c r="S87" s="238">
        <f t="shared" si="91"/>
        <v>1065000</v>
      </c>
      <c r="T87" s="238">
        <f t="shared" si="92"/>
        <v>0</v>
      </c>
      <c r="U87" s="238">
        <f t="shared" si="93"/>
        <v>1065000</v>
      </c>
      <c r="V87" s="238">
        <f t="shared" si="94"/>
        <v>1065000</v>
      </c>
      <c r="W87" s="238">
        <f t="shared" si="95"/>
        <v>0</v>
      </c>
      <c r="X87" s="238">
        <f t="shared" si="96"/>
        <v>1065000</v>
      </c>
      <c r="Y87" s="119">
        <v>0</v>
      </c>
      <c r="Z87" s="119">
        <v>0</v>
      </c>
      <c r="AA87" s="119"/>
      <c r="AB87" s="119">
        <f t="shared" si="86"/>
        <v>0</v>
      </c>
      <c r="AC87" s="265">
        <f t="shared" si="87"/>
        <v>0</v>
      </c>
    </row>
    <row r="88" spans="2:29" ht="37.5" customHeight="1" x14ac:dyDescent="0.2">
      <c r="B88" s="86" t="s">
        <v>242</v>
      </c>
      <c r="C88" s="104" t="s">
        <v>243</v>
      </c>
      <c r="D88" s="101"/>
      <c r="E88" s="103" t="s">
        <v>478</v>
      </c>
      <c r="F88" s="103" t="s">
        <v>383</v>
      </c>
      <c r="G88" s="103" t="s">
        <v>560</v>
      </c>
      <c r="H88" s="117">
        <v>2024</v>
      </c>
      <c r="I88" s="103">
        <v>2026</v>
      </c>
      <c r="J88" s="260">
        <v>767260</v>
      </c>
      <c r="K88" s="260">
        <v>0</v>
      </c>
      <c r="L88" s="119">
        <f t="shared" si="88"/>
        <v>767260</v>
      </c>
      <c r="M88" s="260">
        <v>767260</v>
      </c>
      <c r="N88" s="260">
        <v>0</v>
      </c>
      <c r="O88" s="119">
        <f t="shared" si="89"/>
        <v>767260</v>
      </c>
      <c r="P88" s="260">
        <v>767260</v>
      </c>
      <c r="Q88" s="260">
        <v>0</v>
      </c>
      <c r="R88" s="119">
        <f t="shared" si="90"/>
        <v>767260</v>
      </c>
      <c r="S88" s="238">
        <f t="shared" si="91"/>
        <v>2301780</v>
      </c>
      <c r="T88" s="238">
        <f t="shared" si="92"/>
        <v>0</v>
      </c>
      <c r="U88" s="238">
        <f t="shared" si="93"/>
        <v>2301780</v>
      </c>
      <c r="V88" s="238">
        <f t="shared" si="94"/>
        <v>2301780</v>
      </c>
      <c r="W88" s="238">
        <f t="shared" si="95"/>
        <v>0</v>
      </c>
      <c r="X88" s="238">
        <f t="shared" si="96"/>
        <v>2301780</v>
      </c>
      <c r="Y88" s="119">
        <v>0</v>
      </c>
      <c r="Z88" s="119">
        <v>0</v>
      </c>
      <c r="AA88" s="119"/>
      <c r="AB88" s="119">
        <f t="shared" si="86"/>
        <v>0</v>
      </c>
      <c r="AC88" s="265">
        <f t="shared" si="87"/>
        <v>0</v>
      </c>
    </row>
    <row r="89" spans="2:29" ht="57.75" customHeight="1" x14ac:dyDescent="0.2">
      <c r="B89" s="89" t="s">
        <v>244</v>
      </c>
      <c r="C89" s="110" t="s">
        <v>245</v>
      </c>
      <c r="D89" s="101"/>
      <c r="E89" s="235" t="s">
        <v>433</v>
      </c>
      <c r="F89" s="103" t="s">
        <v>634</v>
      </c>
      <c r="G89" s="103" t="s">
        <v>413</v>
      </c>
      <c r="H89" s="117">
        <v>2024</v>
      </c>
      <c r="I89" s="103">
        <v>2026</v>
      </c>
      <c r="J89" s="260">
        <v>22323080</v>
      </c>
      <c r="K89" s="260">
        <v>0</v>
      </c>
      <c r="L89" s="119">
        <f t="shared" si="88"/>
        <v>22323080</v>
      </c>
      <c r="M89" s="260">
        <v>26787700</v>
      </c>
      <c r="N89" s="260">
        <v>0</v>
      </c>
      <c r="O89" s="119">
        <f t="shared" si="89"/>
        <v>26787700</v>
      </c>
      <c r="P89" s="260">
        <v>32145200</v>
      </c>
      <c r="Q89" s="260">
        <v>0</v>
      </c>
      <c r="R89" s="119">
        <f t="shared" si="90"/>
        <v>32145200</v>
      </c>
      <c r="S89" s="238">
        <f t="shared" si="91"/>
        <v>81255980</v>
      </c>
      <c r="T89" s="238">
        <f t="shared" si="92"/>
        <v>0</v>
      </c>
      <c r="U89" s="238">
        <f t="shared" si="93"/>
        <v>81255980</v>
      </c>
      <c r="V89" s="238">
        <f t="shared" si="94"/>
        <v>81255980</v>
      </c>
      <c r="W89" s="238">
        <f t="shared" si="95"/>
        <v>0</v>
      </c>
      <c r="X89" s="238">
        <f t="shared" si="96"/>
        <v>81255980</v>
      </c>
      <c r="Y89" s="119">
        <v>0</v>
      </c>
      <c r="Z89" s="119">
        <v>0</v>
      </c>
      <c r="AA89" s="119"/>
      <c r="AB89" s="119">
        <f t="shared" si="86"/>
        <v>0</v>
      </c>
      <c r="AC89" s="265">
        <f t="shared" si="87"/>
        <v>0</v>
      </c>
    </row>
    <row r="90" spans="2:29" ht="57" customHeight="1" x14ac:dyDescent="0.2">
      <c r="B90" s="89" t="s">
        <v>246</v>
      </c>
      <c r="C90" s="118" t="s">
        <v>247</v>
      </c>
      <c r="D90" s="101"/>
      <c r="E90" s="235" t="s">
        <v>433</v>
      </c>
      <c r="F90" s="103" t="s">
        <v>634</v>
      </c>
      <c r="G90" s="103" t="s">
        <v>413</v>
      </c>
      <c r="H90" s="117">
        <v>2024</v>
      </c>
      <c r="I90" s="103">
        <v>2026</v>
      </c>
      <c r="J90" s="260">
        <v>22323080</v>
      </c>
      <c r="K90" s="260">
        <v>0</v>
      </c>
      <c r="L90" s="119">
        <f t="shared" si="88"/>
        <v>22323080</v>
      </c>
      <c r="M90" s="260">
        <v>26787700</v>
      </c>
      <c r="N90" s="260">
        <v>0</v>
      </c>
      <c r="O90" s="119">
        <f t="shared" si="89"/>
        <v>26787700</v>
      </c>
      <c r="P90" s="260">
        <v>32145200</v>
      </c>
      <c r="Q90" s="260">
        <v>0</v>
      </c>
      <c r="R90" s="119">
        <f t="shared" si="90"/>
        <v>32145200</v>
      </c>
      <c r="S90" s="238">
        <f t="shared" si="91"/>
        <v>81255980</v>
      </c>
      <c r="T90" s="238">
        <f t="shared" si="92"/>
        <v>0</v>
      </c>
      <c r="U90" s="238">
        <f t="shared" si="93"/>
        <v>81255980</v>
      </c>
      <c r="V90" s="238">
        <f t="shared" si="94"/>
        <v>81255980</v>
      </c>
      <c r="W90" s="238">
        <f t="shared" si="95"/>
        <v>0</v>
      </c>
      <c r="X90" s="238">
        <f t="shared" si="96"/>
        <v>81255980</v>
      </c>
      <c r="Y90" s="119">
        <v>0</v>
      </c>
      <c r="Z90" s="119">
        <v>0</v>
      </c>
      <c r="AA90" s="119"/>
      <c r="AB90" s="119">
        <f t="shared" si="86"/>
        <v>0</v>
      </c>
      <c r="AC90" s="265">
        <f t="shared" si="87"/>
        <v>0</v>
      </c>
    </row>
    <row r="91" spans="2:29" ht="57.75" customHeight="1" x14ac:dyDescent="0.2">
      <c r="B91" s="89" t="s">
        <v>248</v>
      </c>
      <c r="C91" s="118" t="s">
        <v>249</v>
      </c>
      <c r="D91" s="101"/>
      <c r="E91" s="103" t="s">
        <v>438</v>
      </c>
      <c r="F91" s="103" t="s">
        <v>414</v>
      </c>
      <c r="G91" s="102" t="s">
        <v>561</v>
      </c>
      <c r="H91" s="117">
        <v>2024</v>
      </c>
      <c r="I91" s="103">
        <v>2026</v>
      </c>
      <c r="J91" s="119">
        <v>43600</v>
      </c>
      <c r="K91" s="260">
        <v>0</v>
      </c>
      <c r="L91" s="119">
        <f t="shared" si="88"/>
        <v>43600</v>
      </c>
      <c r="M91" s="119">
        <v>43600</v>
      </c>
      <c r="N91" s="260">
        <v>0</v>
      </c>
      <c r="O91" s="119">
        <f t="shared" si="89"/>
        <v>43600</v>
      </c>
      <c r="P91" s="119">
        <v>43600</v>
      </c>
      <c r="Q91" s="260">
        <v>0</v>
      </c>
      <c r="R91" s="119">
        <f t="shared" si="90"/>
        <v>43600</v>
      </c>
      <c r="S91" s="238">
        <f t="shared" si="91"/>
        <v>130800</v>
      </c>
      <c r="T91" s="238">
        <f t="shared" si="92"/>
        <v>0</v>
      </c>
      <c r="U91" s="238">
        <f t="shared" si="93"/>
        <v>130800</v>
      </c>
      <c r="V91" s="238">
        <f t="shared" si="94"/>
        <v>130800</v>
      </c>
      <c r="W91" s="238">
        <f t="shared" si="95"/>
        <v>0</v>
      </c>
      <c r="X91" s="238">
        <f t="shared" si="96"/>
        <v>130800</v>
      </c>
      <c r="Y91" s="119">
        <v>0</v>
      </c>
      <c r="Z91" s="119">
        <v>0</v>
      </c>
      <c r="AA91" s="119"/>
      <c r="AB91" s="119">
        <f t="shared" si="86"/>
        <v>0</v>
      </c>
      <c r="AC91" s="265">
        <f t="shared" si="87"/>
        <v>0</v>
      </c>
    </row>
    <row r="92" spans="2:29" ht="63" customHeight="1" x14ac:dyDescent="0.2">
      <c r="B92" s="89" t="s">
        <v>250</v>
      </c>
      <c r="C92" s="118" t="s">
        <v>251</v>
      </c>
      <c r="D92" s="101"/>
      <c r="E92" s="103" t="s">
        <v>438</v>
      </c>
      <c r="F92" s="103" t="s">
        <v>414</v>
      </c>
      <c r="G92" s="103" t="s">
        <v>562</v>
      </c>
      <c r="H92" s="117">
        <v>2024</v>
      </c>
      <c r="I92" s="103">
        <v>2026</v>
      </c>
      <c r="J92" s="119">
        <v>43600</v>
      </c>
      <c r="K92" s="260">
        <v>0</v>
      </c>
      <c r="L92" s="119">
        <f t="shared" si="88"/>
        <v>43600</v>
      </c>
      <c r="M92" s="119">
        <v>43600</v>
      </c>
      <c r="N92" s="260">
        <v>0</v>
      </c>
      <c r="O92" s="119">
        <f t="shared" si="89"/>
        <v>43600</v>
      </c>
      <c r="P92" s="119">
        <v>43600</v>
      </c>
      <c r="Q92" s="260">
        <v>0</v>
      </c>
      <c r="R92" s="119">
        <f t="shared" si="90"/>
        <v>43600</v>
      </c>
      <c r="S92" s="238">
        <f t="shared" si="91"/>
        <v>130800</v>
      </c>
      <c r="T92" s="238">
        <f t="shared" si="92"/>
        <v>0</v>
      </c>
      <c r="U92" s="238">
        <f t="shared" si="93"/>
        <v>130800</v>
      </c>
      <c r="V92" s="238">
        <f t="shared" si="94"/>
        <v>130800</v>
      </c>
      <c r="W92" s="238">
        <f t="shared" si="95"/>
        <v>0</v>
      </c>
      <c r="X92" s="238">
        <f t="shared" si="96"/>
        <v>130800</v>
      </c>
      <c r="Y92" s="119">
        <v>0</v>
      </c>
      <c r="Z92" s="119">
        <v>0</v>
      </c>
      <c r="AA92" s="119"/>
      <c r="AB92" s="119">
        <f t="shared" si="86"/>
        <v>0</v>
      </c>
      <c r="AC92" s="265">
        <f t="shared" si="87"/>
        <v>0</v>
      </c>
    </row>
    <row r="93" spans="2:29" ht="69.75" customHeight="1" x14ac:dyDescent="0.2">
      <c r="B93" s="89" t="s">
        <v>252</v>
      </c>
      <c r="C93" s="120" t="s">
        <v>437</v>
      </c>
      <c r="D93" s="101"/>
      <c r="E93" s="235"/>
      <c r="F93" s="116" t="s">
        <v>435</v>
      </c>
      <c r="G93" s="102" t="s">
        <v>563</v>
      </c>
      <c r="H93" s="117">
        <v>2024</v>
      </c>
      <c r="I93" s="103">
        <v>2026</v>
      </c>
      <c r="J93" s="119">
        <v>1080000</v>
      </c>
      <c r="K93" s="119">
        <v>0</v>
      </c>
      <c r="L93" s="119">
        <f t="shared" si="88"/>
        <v>1080000</v>
      </c>
      <c r="M93" s="119">
        <v>1120000</v>
      </c>
      <c r="N93" s="119">
        <v>0</v>
      </c>
      <c r="O93" s="119">
        <f t="shared" si="89"/>
        <v>1120000</v>
      </c>
      <c r="P93" s="119">
        <v>1120000</v>
      </c>
      <c r="Q93" s="119">
        <v>0</v>
      </c>
      <c r="R93" s="119">
        <f t="shared" si="90"/>
        <v>1120000</v>
      </c>
      <c r="S93" s="238">
        <f t="shared" si="91"/>
        <v>3320000</v>
      </c>
      <c r="T93" s="238">
        <f t="shared" si="92"/>
        <v>0</v>
      </c>
      <c r="U93" s="238">
        <f t="shared" si="93"/>
        <v>3320000</v>
      </c>
      <c r="V93" s="238">
        <f t="shared" si="94"/>
        <v>3320000</v>
      </c>
      <c r="W93" s="238">
        <f t="shared" si="95"/>
        <v>0</v>
      </c>
      <c r="X93" s="238">
        <f t="shared" si="96"/>
        <v>3320000</v>
      </c>
      <c r="Y93" s="119">
        <v>0</v>
      </c>
      <c r="Z93" s="119">
        <v>0</v>
      </c>
      <c r="AA93" s="119"/>
      <c r="AB93" s="119">
        <f t="shared" si="86"/>
        <v>0</v>
      </c>
      <c r="AC93" s="265">
        <f t="shared" si="87"/>
        <v>0</v>
      </c>
    </row>
    <row r="94" spans="2:29" ht="57" customHeight="1" x14ac:dyDescent="0.2">
      <c r="B94" s="89" t="s">
        <v>253</v>
      </c>
      <c r="C94" s="118" t="s">
        <v>510</v>
      </c>
      <c r="D94" s="101"/>
      <c r="E94" s="103" t="s">
        <v>512</v>
      </c>
      <c r="F94" s="103" t="s">
        <v>415</v>
      </c>
      <c r="G94" s="102" t="s">
        <v>416</v>
      </c>
      <c r="H94" s="117">
        <v>2024</v>
      </c>
      <c r="I94" s="103">
        <v>2026</v>
      </c>
      <c r="J94" s="119">
        <v>330100</v>
      </c>
      <c r="K94" s="119">
        <v>0</v>
      </c>
      <c r="L94" s="119">
        <f t="shared" si="88"/>
        <v>330100</v>
      </c>
      <c r="M94" s="119">
        <f>J94</f>
        <v>330100</v>
      </c>
      <c r="N94" s="119">
        <v>0</v>
      </c>
      <c r="O94" s="119">
        <f t="shared" si="89"/>
        <v>330100</v>
      </c>
      <c r="P94" s="119">
        <v>330100</v>
      </c>
      <c r="Q94" s="119">
        <v>27100</v>
      </c>
      <c r="R94" s="119">
        <f t="shared" si="90"/>
        <v>357200</v>
      </c>
      <c r="S94" s="238">
        <f t="shared" si="91"/>
        <v>990300</v>
      </c>
      <c r="T94" s="238">
        <f t="shared" si="92"/>
        <v>27100</v>
      </c>
      <c r="U94" s="238">
        <f t="shared" si="93"/>
        <v>1017400</v>
      </c>
      <c r="V94" s="238">
        <f t="shared" si="94"/>
        <v>990300</v>
      </c>
      <c r="W94" s="238">
        <f t="shared" si="95"/>
        <v>27100</v>
      </c>
      <c r="X94" s="238">
        <f t="shared" si="96"/>
        <v>1017400</v>
      </c>
      <c r="Y94" s="119">
        <v>0</v>
      </c>
      <c r="Z94" s="119">
        <v>0</v>
      </c>
      <c r="AA94" s="119"/>
      <c r="AB94" s="119">
        <f t="shared" si="86"/>
        <v>0</v>
      </c>
      <c r="AC94" s="265">
        <f t="shared" si="87"/>
        <v>0</v>
      </c>
    </row>
    <row r="95" spans="2:29" ht="51.75" customHeight="1" x14ac:dyDescent="0.2">
      <c r="B95" s="89" t="s">
        <v>254</v>
      </c>
      <c r="C95" s="101" t="s">
        <v>255</v>
      </c>
      <c r="D95" s="101"/>
      <c r="E95" s="103" t="s">
        <v>511</v>
      </c>
      <c r="F95" s="103" t="s">
        <v>415</v>
      </c>
      <c r="G95" s="102" t="s">
        <v>405</v>
      </c>
      <c r="H95" s="117">
        <v>2024</v>
      </c>
      <c r="I95" s="103">
        <v>2026</v>
      </c>
      <c r="J95" s="119">
        <v>330100</v>
      </c>
      <c r="K95" s="119">
        <v>0</v>
      </c>
      <c r="L95" s="119">
        <f t="shared" si="88"/>
        <v>330100</v>
      </c>
      <c r="M95" s="119">
        <f>J95</f>
        <v>330100</v>
      </c>
      <c r="N95" s="119">
        <v>0</v>
      </c>
      <c r="O95" s="119">
        <f t="shared" si="89"/>
        <v>330100</v>
      </c>
      <c r="P95" s="119">
        <v>330100</v>
      </c>
      <c r="Q95" s="119">
        <v>27100</v>
      </c>
      <c r="R95" s="119">
        <f t="shared" si="90"/>
        <v>357200</v>
      </c>
      <c r="S95" s="238">
        <f t="shared" si="91"/>
        <v>990300</v>
      </c>
      <c r="T95" s="238">
        <f t="shared" si="92"/>
        <v>27100</v>
      </c>
      <c r="U95" s="238">
        <f t="shared" si="93"/>
        <v>1017400</v>
      </c>
      <c r="V95" s="238">
        <f t="shared" si="94"/>
        <v>990300</v>
      </c>
      <c r="W95" s="238">
        <f t="shared" si="95"/>
        <v>27100</v>
      </c>
      <c r="X95" s="238">
        <f t="shared" si="96"/>
        <v>1017400</v>
      </c>
      <c r="Y95" s="119">
        <v>0</v>
      </c>
      <c r="Z95" s="119">
        <v>0</v>
      </c>
      <c r="AA95" s="119"/>
      <c r="AB95" s="119">
        <f t="shared" si="86"/>
        <v>0</v>
      </c>
      <c r="AC95" s="265">
        <f t="shared" si="87"/>
        <v>0</v>
      </c>
    </row>
    <row r="96" spans="2:29" ht="29.25" customHeight="1" x14ac:dyDescent="0.2">
      <c r="B96" s="86"/>
      <c r="C96" s="121" t="s">
        <v>256</v>
      </c>
      <c r="D96" s="101"/>
      <c r="E96" s="103"/>
      <c r="F96" s="103"/>
      <c r="G96" s="106"/>
      <c r="H96" s="117"/>
      <c r="I96" s="103"/>
      <c r="J96" s="260"/>
      <c r="K96" s="260"/>
      <c r="L96" s="119"/>
      <c r="M96" s="260"/>
      <c r="N96" s="260"/>
      <c r="O96" s="119"/>
      <c r="P96" s="260"/>
      <c r="Q96" s="119"/>
      <c r="R96" s="119"/>
      <c r="S96" s="119"/>
      <c r="T96" s="119"/>
      <c r="U96" s="119"/>
      <c r="V96" s="119"/>
      <c r="W96" s="119"/>
      <c r="X96" s="119"/>
      <c r="Y96" s="119"/>
      <c r="Z96" s="119"/>
      <c r="AA96" s="119"/>
      <c r="AB96" s="119"/>
      <c r="AC96" s="265">
        <f t="shared" si="87"/>
        <v>0</v>
      </c>
    </row>
    <row r="97" spans="1:92" ht="53.25" customHeight="1" x14ac:dyDescent="0.2">
      <c r="B97" s="89" t="s">
        <v>257</v>
      </c>
      <c r="C97" s="104" t="s">
        <v>258</v>
      </c>
      <c r="D97" s="101"/>
      <c r="E97" s="235" t="s">
        <v>473</v>
      </c>
      <c r="F97" s="103" t="s">
        <v>383</v>
      </c>
      <c r="G97" s="106" t="s">
        <v>405</v>
      </c>
      <c r="H97" s="117">
        <v>2024</v>
      </c>
      <c r="I97" s="103">
        <v>2026</v>
      </c>
      <c r="J97" s="260">
        <v>1473120</v>
      </c>
      <c r="K97" s="260">
        <v>0</v>
      </c>
      <c r="L97" s="119">
        <f t="shared" ref="L97:L127" si="97">J97+K97</f>
        <v>1473120</v>
      </c>
      <c r="M97" s="260">
        <v>1473120</v>
      </c>
      <c r="N97" s="260">
        <v>0</v>
      </c>
      <c r="O97" s="119">
        <f>M97+N97</f>
        <v>1473120</v>
      </c>
      <c r="P97" s="260">
        <v>1473120</v>
      </c>
      <c r="Q97" s="260">
        <v>0</v>
      </c>
      <c r="R97" s="119">
        <f>P97+Q97</f>
        <v>1473120</v>
      </c>
      <c r="S97" s="238">
        <f t="shared" ref="S97" si="98">J97+M97+P97</f>
        <v>4419360</v>
      </c>
      <c r="T97" s="238">
        <f t="shared" ref="T97" si="99">K97+N97+Q97</f>
        <v>0</v>
      </c>
      <c r="U97" s="238">
        <f t="shared" ref="U97" si="100">S97+T97</f>
        <v>4419360</v>
      </c>
      <c r="V97" s="238">
        <f t="shared" ref="V97" si="101">S97</f>
        <v>4419360</v>
      </c>
      <c r="W97" s="238">
        <f t="shared" ref="W97" si="102">T97</f>
        <v>0</v>
      </c>
      <c r="X97" s="238">
        <f t="shared" ref="X97" si="103">V97+W97</f>
        <v>4419360</v>
      </c>
      <c r="Y97" s="119">
        <v>0</v>
      </c>
      <c r="Z97" s="119">
        <v>0</v>
      </c>
      <c r="AA97" s="119"/>
      <c r="AB97" s="119">
        <f t="shared" si="86"/>
        <v>0</v>
      </c>
      <c r="AC97" s="265">
        <f t="shared" si="87"/>
        <v>0</v>
      </c>
    </row>
    <row r="98" spans="1:92" ht="39" customHeight="1" x14ac:dyDescent="0.2">
      <c r="B98" s="89" t="s">
        <v>259</v>
      </c>
      <c r="C98" s="104" t="s">
        <v>260</v>
      </c>
      <c r="D98" s="101"/>
      <c r="E98" s="235" t="s">
        <v>616</v>
      </c>
      <c r="F98" s="103" t="s">
        <v>417</v>
      </c>
      <c r="G98" s="103" t="s">
        <v>383</v>
      </c>
      <c r="H98" s="103">
        <v>2024</v>
      </c>
      <c r="I98" s="103">
        <v>2026</v>
      </c>
      <c r="J98" s="260">
        <v>1473120</v>
      </c>
      <c r="K98" s="260">
        <v>0</v>
      </c>
      <c r="L98" s="119">
        <f t="shared" si="97"/>
        <v>1473120</v>
      </c>
      <c r="M98" s="260">
        <v>1473120</v>
      </c>
      <c r="N98" s="260">
        <v>0</v>
      </c>
      <c r="O98" s="119">
        <f t="shared" ref="O98:O99" si="104">M98+N98</f>
        <v>1473120</v>
      </c>
      <c r="P98" s="260">
        <v>1473120</v>
      </c>
      <c r="Q98" s="260">
        <v>0</v>
      </c>
      <c r="R98" s="119">
        <f t="shared" ref="R98:R99" si="105">P98+Q98</f>
        <v>1473120</v>
      </c>
      <c r="S98" s="238">
        <f t="shared" ref="S98:S112" si="106">J98+M98+P98</f>
        <v>4419360</v>
      </c>
      <c r="T98" s="238">
        <f t="shared" ref="T98:T112" si="107">K98+N98+Q98</f>
        <v>0</v>
      </c>
      <c r="U98" s="238">
        <f t="shared" ref="U98:U112" si="108">S98+T98</f>
        <v>4419360</v>
      </c>
      <c r="V98" s="238">
        <f t="shared" ref="V98:V112" si="109">S98</f>
        <v>4419360</v>
      </c>
      <c r="W98" s="238">
        <f t="shared" ref="W98:W112" si="110">T98</f>
        <v>0</v>
      </c>
      <c r="X98" s="238">
        <f t="shared" ref="X98:X112" si="111">V98+W98</f>
        <v>4419360</v>
      </c>
      <c r="Y98" s="119">
        <v>0</v>
      </c>
      <c r="Z98" s="119">
        <v>0</v>
      </c>
      <c r="AA98" s="119"/>
      <c r="AB98" s="119">
        <f t="shared" si="86"/>
        <v>0</v>
      </c>
      <c r="AC98" s="265">
        <f t="shared" si="87"/>
        <v>0</v>
      </c>
    </row>
    <row r="99" spans="1:92" ht="46.5" customHeight="1" x14ac:dyDescent="0.2">
      <c r="B99" s="86" t="s">
        <v>48</v>
      </c>
      <c r="C99" s="104" t="s">
        <v>261</v>
      </c>
      <c r="D99" s="101"/>
      <c r="E99" s="235" t="s">
        <v>617</v>
      </c>
      <c r="F99" s="103" t="s">
        <v>383</v>
      </c>
      <c r="G99" s="106" t="s">
        <v>564</v>
      </c>
      <c r="H99" s="103">
        <v>2024</v>
      </c>
      <c r="I99" s="103">
        <v>2026</v>
      </c>
      <c r="J99" s="260">
        <v>165507300.00000003</v>
      </c>
      <c r="K99" s="260">
        <v>0</v>
      </c>
      <c r="L99" s="119">
        <f t="shared" si="97"/>
        <v>165507300.00000003</v>
      </c>
      <c r="M99" s="260">
        <v>165507300.00000003</v>
      </c>
      <c r="N99" s="260">
        <v>0</v>
      </c>
      <c r="O99" s="119">
        <f t="shared" si="104"/>
        <v>165507300.00000003</v>
      </c>
      <c r="P99" s="260">
        <v>165507300.00000003</v>
      </c>
      <c r="Q99" s="260">
        <v>0</v>
      </c>
      <c r="R99" s="119">
        <f t="shared" si="105"/>
        <v>165507300.00000003</v>
      </c>
      <c r="S99" s="238">
        <f t="shared" si="106"/>
        <v>496521900.00000012</v>
      </c>
      <c r="T99" s="238">
        <f t="shared" si="107"/>
        <v>0</v>
      </c>
      <c r="U99" s="238">
        <f t="shared" si="108"/>
        <v>496521900.00000012</v>
      </c>
      <c r="V99" s="238">
        <f t="shared" si="109"/>
        <v>496521900.00000012</v>
      </c>
      <c r="W99" s="238">
        <f t="shared" si="110"/>
        <v>0</v>
      </c>
      <c r="X99" s="238">
        <f t="shared" si="111"/>
        <v>496521900.00000012</v>
      </c>
      <c r="Y99" s="119">
        <v>0</v>
      </c>
      <c r="Z99" s="119">
        <v>0</v>
      </c>
      <c r="AA99" s="119"/>
      <c r="AB99" s="119">
        <f t="shared" si="86"/>
        <v>0</v>
      </c>
      <c r="AC99" s="265">
        <f t="shared" si="87"/>
        <v>0</v>
      </c>
    </row>
    <row r="100" spans="1:92" ht="53.25" customHeight="1" x14ac:dyDescent="0.2">
      <c r="B100" s="86" t="s">
        <v>49</v>
      </c>
      <c r="C100" s="104" t="s">
        <v>262</v>
      </c>
      <c r="D100" s="103"/>
      <c r="E100" s="235" t="s">
        <v>616</v>
      </c>
      <c r="F100" s="106" t="s">
        <v>418</v>
      </c>
      <c r="G100" s="117" t="s">
        <v>386</v>
      </c>
      <c r="H100" s="138">
        <v>2024</v>
      </c>
      <c r="I100" s="103">
        <v>2026</v>
      </c>
      <c r="J100" s="260">
        <v>18623000</v>
      </c>
      <c r="K100" s="260">
        <v>0</v>
      </c>
      <c r="L100" s="119">
        <f t="shared" si="97"/>
        <v>18623000</v>
      </c>
      <c r="M100" s="260">
        <v>18623000</v>
      </c>
      <c r="N100" s="260">
        <v>0</v>
      </c>
      <c r="O100" s="119">
        <f>M100+N100</f>
        <v>18623000</v>
      </c>
      <c r="P100" s="260">
        <v>18623000</v>
      </c>
      <c r="Q100" s="260">
        <v>0</v>
      </c>
      <c r="R100" s="119">
        <f>P100+Q100</f>
        <v>18623000</v>
      </c>
      <c r="S100" s="238">
        <f t="shared" si="106"/>
        <v>55869000</v>
      </c>
      <c r="T100" s="238">
        <f t="shared" si="107"/>
        <v>0</v>
      </c>
      <c r="U100" s="238">
        <f t="shared" si="108"/>
        <v>55869000</v>
      </c>
      <c r="V100" s="238">
        <f t="shared" si="109"/>
        <v>55869000</v>
      </c>
      <c r="W100" s="238">
        <f t="shared" si="110"/>
        <v>0</v>
      </c>
      <c r="X100" s="238">
        <f t="shared" si="111"/>
        <v>55869000</v>
      </c>
      <c r="Y100" s="119">
        <v>0</v>
      </c>
      <c r="Z100" s="119">
        <v>0</v>
      </c>
      <c r="AA100" s="119"/>
      <c r="AB100" s="119">
        <f t="shared" si="86"/>
        <v>0</v>
      </c>
      <c r="AC100" s="265">
        <f t="shared" si="87"/>
        <v>0</v>
      </c>
    </row>
    <row r="101" spans="1:92" ht="33" customHeight="1" x14ac:dyDescent="0.2">
      <c r="B101" s="86" t="s">
        <v>263</v>
      </c>
      <c r="C101" s="104" t="s">
        <v>264</v>
      </c>
      <c r="D101" s="102"/>
      <c r="E101" s="235" t="s">
        <v>473</v>
      </c>
      <c r="F101" s="117" t="s">
        <v>383</v>
      </c>
      <c r="G101" s="117" t="s">
        <v>386</v>
      </c>
      <c r="H101" s="102">
        <v>2024</v>
      </c>
      <c r="I101" s="103">
        <v>2026</v>
      </c>
      <c r="J101" s="260">
        <v>107180700</v>
      </c>
      <c r="K101" s="260">
        <v>0</v>
      </c>
      <c r="L101" s="119">
        <f>J101+K101</f>
        <v>107180700</v>
      </c>
      <c r="M101" s="260">
        <v>107180700</v>
      </c>
      <c r="N101" s="260">
        <v>0</v>
      </c>
      <c r="O101" s="119">
        <f t="shared" ref="O101" si="112">M101+N101</f>
        <v>107180700</v>
      </c>
      <c r="P101" s="260">
        <v>107180700</v>
      </c>
      <c r="Q101" s="260">
        <v>0</v>
      </c>
      <c r="R101" s="119">
        <f t="shared" ref="R101" si="113">P101+Q101</f>
        <v>107180700</v>
      </c>
      <c r="S101" s="238">
        <f t="shared" si="106"/>
        <v>321542100</v>
      </c>
      <c r="T101" s="238">
        <f t="shared" si="107"/>
        <v>0</v>
      </c>
      <c r="U101" s="238">
        <f t="shared" si="108"/>
        <v>321542100</v>
      </c>
      <c r="V101" s="238">
        <f t="shared" si="109"/>
        <v>321542100</v>
      </c>
      <c r="W101" s="238">
        <f t="shared" si="110"/>
        <v>0</v>
      </c>
      <c r="X101" s="238">
        <f t="shared" si="111"/>
        <v>321542100</v>
      </c>
      <c r="Y101" s="119">
        <v>0</v>
      </c>
      <c r="Z101" s="119">
        <v>0</v>
      </c>
      <c r="AA101" s="119"/>
      <c r="AB101" s="119">
        <f t="shared" si="86"/>
        <v>0</v>
      </c>
      <c r="AC101" s="265">
        <f t="shared" si="87"/>
        <v>0</v>
      </c>
    </row>
    <row r="102" spans="1:92" ht="85.5" customHeight="1" x14ac:dyDescent="0.2">
      <c r="B102" s="86" t="s">
        <v>265</v>
      </c>
      <c r="C102" s="122" t="s">
        <v>266</v>
      </c>
      <c r="D102" s="101"/>
      <c r="E102" s="262" t="s">
        <v>633</v>
      </c>
      <c r="F102" s="103" t="s">
        <v>396</v>
      </c>
      <c r="G102" s="106" t="s">
        <v>565</v>
      </c>
      <c r="H102" s="117">
        <v>2024</v>
      </c>
      <c r="I102" s="103">
        <v>2026</v>
      </c>
      <c r="J102" s="119">
        <v>36637</v>
      </c>
      <c r="K102" s="119">
        <v>729000</v>
      </c>
      <c r="L102" s="119">
        <f t="shared" ref="L102:L104" si="114">J102+K102</f>
        <v>765637</v>
      </c>
      <c r="M102" s="119">
        <v>40234</v>
      </c>
      <c r="N102" s="119">
        <v>4795</v>
      </c>
      <c r="O102" s="119">
        <v>45029</v>
      </c>
      <c r="P102" s="119">
        <v>40234</v>
      </c>
      <c r="Q102" s="119">
        <v>2566</v>
      </c>
      <c r="R102" s="119">
        <v>42800</v>
      </c>
      <c r="S102" s="238">
        <f t="shared" si="106"/>
        <v>117105</v>
      </c>
      <c r="T102" s="238">
        <f t="shared" si="107"/>
        <v>736361</v>
      </c>
      <c r="U102" s="238">
        <f t="shared" si="108"/>
        <v>853466</v>
      </c>
      <c r="V102" s="238">
        <f t="shared" si="109"/>
        <v>117105</v>
      </c>
      <c r="W102" s="238">
        <f t="shared" si="110"/>
        <v>736361</v>
      </c>
      <c r="X102" s="238">
        <f t="shared" si="111"/>
        <v>853466</v>
      </c>
      <c r="Y102" s="119">
        <v>0</v>
      </c>
      <c r="Z102" s="119">
        <v>0</v>
      </c>
      <c r="AA102" s="119"/>
      <c r="AB102" s="119">
        <f t="shared" si="86"/>
        <v>0</v>
      </c>
      <c r="AC102" s="265">
        <f t="shared" si="87"/>
        <v>0</v>
      </c>
    </row>
    <row r="103" spans="1:92" ht="39.75" customHeight="1" x14ac:dyDescent="0.2">
      <c r="B103" s="86" t="s">
        <v>267</v>
      </c>
      <c r="C103" s="104" t="s">
        <v>268</v>
      </c>
      <c r="D103" s="101"/>
      <c r="E103" s="103" t="s">
        <v>476</v>
      </c>
      <c r="F103" s="103" t="s">
        <v>383</v>
      </c>
      <c r="G103" s="117" t="s">
        <v>386</v>
      </c>
      <c r="H103" s="117">
        <v>2024</v>
      </c>
      <c r="I103" s="103">
        <v>2026</v>
      </c>
      <c r="J103" s="260">
        <v>29785300</v>
      </c>
      <c r="K103" s="260">
        <v>0</v>
      </c>
      <c r="L103" s="119">
        <f t="shared" si="114"/>
        <v>29785300</v>
      </c>
      <c r="M103" s="260">
        <v>29785300</v>
      </c>
      <c r="N103" s="260">
        <v>0</v>
      </c>
      <c r="O103" s="119">
        <f>M103+N103</f>
        <v>29785300</v>
      </c>
      <c r="P103" s="260">
        <v>29785300</v>
      </c>
      <c r="Q103" s="260">
        <v>0</v>
      </c>
      <c r="R103" s="119">
        <f>P103+Q103</f>
        <v>29785300</v>
      </c>
      <c r="S103" s="238">
        <f t="shared" si="106"/>
        <v>89355900</v>
      </c>
      <c r="T103" s="238">
        <f t="shared" si="107"/>
        <v>0</v>
      </c>
      <c r="U103" s="238">
        <f t="shared" si="108"/>
        <v>89355900</v>
      </c>
      <c r="V103" s="238">
        <f t="shared" si="109"/>
        <v>89355900</v>
      </c>
      <c r="W103" s="238">
        <f t="shared" si="110"/>
        <v>0</v>
      </c>
      <c r="X103" s="238">
        <f t="shared" si="111"/>
        <v>89355900</v>
      </c>
      <c r="Y103" s="119">
        <v>0</v>
      </c>
      <c r="Z103" s="119">
        <v>0</v>
      </c>
      <c r="AA103" s="119"/>
      <c r="AB103" s="119">
        <f t="shared" si="86"/>
        <v>0</v>
      </c>
      <c r="AC103" s="265">
        <f t="shared" si="87"/>
        <v>0</v>
      </c>
    </row>
    <row r="104" spans="1:92" ht="63.75" customHeight="1" x14ac:dyDescent="0.2">
      <c r="B104" s="86" t="s">
        <v>269</v>
      </c>
      <c r="C104" s="110" t="s">
        <v>270</v>
      </c>
      <c r="D104" s="101"/>
      <c r="E104" s="103" t="s">
        <v>476</v>
      </c>
      <c r="F104" s="103" t="s">
        <v>383</v>
      </c>
      <c r="G104" s="106" t="s">
        <v>568</v>
      </c>
      <c r="H104" s="117">
        <v>2024</v>
      </c>
      <c r="I104" s="103">
        <v>2026</v>
      </c>
      <c r="J104" s="119">
        <v>345573000</v>
      </c>
      <c r="K104" s="260">
        <v>0</v>
      </c>
      <c r="L104" s="119">
        <f t="shared" si="114"/>
        <v>345573000</v>
      </c>
      <c r="M104" s="119">
        <v>345573000</v>
      </c>
      <c r="N104" s="260">
        <v>0</v>
      </c>
      <c r="O104" s="119">
        <f t="shared" ref="O104" si="115">M104+N104</f>
        <v>345573000</v>
      </c>
      <c r="P104" s="119">
        <v>345573000</v>
      </c>
      <c r="Q104" s="260">
        <v>0</v>
      </c>
      <c r="R104" s="119">
        <f t="shared" ref="R104" si="116">P104+Q104</f>
        <v>345573000</v>
      </c>
      <c r="S104" s="238">
        <f t="shared" si="106"/>
        <v>1036719000</v>
      </c>
      <c r="T104" s="238">
        <f t="shared" si="107"/>
        <v>0</v>
      </c>
      <c r="U104" s="238">
        <f t="shared" si="108"/>
        <v>1036719000</v>
      </c>
      <c r="V104" s="238">
        <f t="shared" si="109"/>
        <v>1036719000</v>
      </c>
      <c r="W104" s="238">
        <f t="shared" si="110"/>
        <v>0</v>
      </c>
      <c r="X104" s="238">
        <f t="shared" si="111"/>
        <v>1036719000</v>
      </c>
      <c r="Y104" s="119">
        <v>0</v>
      </c>
      <c r="Z104" s="119">
        <v>0</v>
      </c>
      <c r="AA104" s="119"/>
      <c r="AB104" s="119">
        <f t="shared" si="86"/>
        <v>0</v>
      </c>
      <c r="AC104" s="265">
        <f t="shared" si="87"/>
        <v>0</v>
      </c>
    </row>
    <row r="105" spans="1:92" ht="43.5" customHeight="1" x14ac:dyDescent="0.2">
      <c r="B105" s="86" t="s">
        <v>649</v>
      </c>
      <c r="C105" s="110" t="s">
        <v>272</v>
      </c>
      <c r="D105" s="236" t="s">
        <v>11</v>
      </c>
      <c r="E105" s="272" t="s">
        <v>436</v>
      </c>
      <c r="F105" s="103" t="s">
        <v>419</v>
      </c>
      <c r="G105" s="106" t="s">
        <v>567</v>
      </c>
      <c r="H105" s="117">
        <v>2024</v>
      </c>
      <c r="I105" s="103">
        <v>2026</v>
      </c>
      <c r="J105" s="119">
        <v>146032.51391138972</v>
      </c>
      <c r="K105" s="119">
        <v>0</v>
      </c>
      <c r="L105" s="119">
        <f>J105+K105</f>
        <v>146032.51391138972</v>
      </c>
      <c r="M105" s="119">
        <v>191521.22279354793</v>
      </c>
      <c r="N105" s="119">
        <v>131761.39888708881</v>
      </c>
      <c r="O105" s="119">
        <f>M105+N105</f>
        <v>323282.62168063677</v>
      </c>
      <c r="P105" s="119">
        <v>192516.55701908853</v>
      </c>
      <c r="Q105" s="119">
        <v>176169.85842079311</v>
      </c>
      <c r="R105" s="119">
        <f>P105+Q105</f>
        <v>368686.41543988162</v>
      </c>
      <c r="S105" s="238">
        <f t="shared" si="106"/>
        <v>530070.29372402618</v>
      </c>
      <c r="T105" s="238">
        <f t="shared" si="107"/>
        <v>307931.25730788196</v>
      </c>
      <c r="U105" s="238">
        <f t="shared" si="108"/>
        <v>838001.55103190814</v>
      </c>
      <c r="V105" s="238">
        <f t="shared" si="109"/>
        <v>530070.29372402618</v>
      </c>
      <c r="W105" s="238">
        <f t="shared" si="110"/>
        <v>307931.25730788196</v>
      </c>
      <c r="X105" s="238">
        <f t="shared" si="111"/>
        <v>838001.55103190814</v>
      </c>
      <c r="Y105" s="119">
        <v>0</v>
      </c>
      <c r="Z105" s="119">
        <v>0</v>
      </c>
      <c r="AA105" s="119"/>
      <c r="AB105" s="119">
        <f>Y105+Z105</f>
        <v>0</v>
      </c>
      <c r="AC105" s="265">
        <f t="shared" si="87"/>
        <v>0</v>
      </c>
    </row>
    <row r="106" spans="1:92" ht="50.25" customHeight="1" x14ac:dyDescent="0.2">
      <c r="B106" s="86" t="s">
        <v>271</v>
      </c>
      <c r="C106" s="105" t="s">
        <v>457</v>
      </c>
      <c r="D106" s="236" t="s">
        <v>11</v>
      </c>
      <c r="E106" s="233"/>
      <c r="F106" s="116" t="s">
        <v>435</v>
      </c>
      <c r="G106" s="106" t="s">
        <v>566</v>
      </c>
      <c r="H106" s="117">
        <v>2024</v>
      </c>
      <c r="I106" s="103">
        <v>2026</v>
      </c>
      <c r="J106" s="119">
        <v>400000</v>
      </c>
      <c r="K106" s="260">
        <v>0</v>
      </c>
      <c r="L106" s="119">
        <f t="shared" si="97"/>
        <v>400000</v>
      </c>
      <c r="M106" s="119">
        <v>400000</v>
      </c>
      <c r="N106" s="260">
        <v>0</v>
      </c>
      <c r="O106" s="119">
        <f t="shared" ref="O106:O107" si="117">M106+N106</f>
        <v>400000</v>
      </c>
      <c r="P106" s="119">
        <v>400000</v>
      </c>
      <c r="Q106" s="260">
        <v>0</v>
      </c>
      <c r="R106" s="119">
        <f>P106+Q106</f>
        <v>400000</v>
      </c>
      <c r="S106" s="238">
        <f t="shared" si="106"/>
        <v>1200000</v>
      </c>
      <c r="T106" s="238">
        <f t="shared" si="107"/>
        <v>0</v>
      </c>
      <c r="U106" s="238">
        <f t="shared" si="108"/>
        <v>1200000</v>
      </c>
      <c r="V106" s="238">
        <f t="shared" si="109"/>
        <v>1200000</v>
      </c>
      <c r="W106" s="238">
        <f t="shared" si="110"/>
        <v>0</v>
      </c>
      <c r="X106" s="238">
        <f t="shared" si="111"/>
        <v>1200000</v>
      </c>
      <c r="Y106" s="119">
        <v>0</v>
      </c>
      <c r="Z106" s="119">
        <v>0</v>
      </c>
      <c r="AA106" s="119"/>
      <c r="AB106" s="119">
        <f t="shared" ref="AB106:AB126" si="118">Y106+Z106</f>
        <v>0</v>
      </c>
      <c r="AC106" s="265">
        <f t="shared" si="87"/>
        <v>0</v>
      </c>
    </row>
    <row r="107" spans="1:92" ht="65.25" customHeight="1" x14ac:dyDescent="0.2">
      <c r="B107" s="86" t="s">
        <v>273</v>
      </c>
      <c r="C107" s="110" t="s">
        <v>275</v>
      </c>
      <c r="D107" s="236"/>
      <c r="E107" s="240" t="s">
        <v>629</v>
      </c>
      <c r="F107" s="103" t="s">
        <v>518</v>
      </c>
      <c r="G107" s="123" t="s">
        <v>569</v>
      </c>
      <c r="H107" s="117">
        <v>2024</v>
      </c>
      <c r="I107" s="103">
        <v>2026</v>
      </c>
      <c r="J107" s="119">
        <f>9760+705273</f>
        <v>715033</v>
      </c>
      <c r="K107" s="260">
        <v>0</v>
      </c>
      <c r="L107" s="119">
        <f t="shared" si="97"/>
        <v>715033</v>
      </c>
      <c r="M107" s="119">
        <f>9760+2029091</f>
        <v>2038851</v>
      </c>
      <c r="N107" s="260">
        <v>0</v>
      </c>
      <c r="O107" s="119">
        <f t="shared" si="117"/>
        <v>2038851</v>
      </c>
      <c r="P107" s="119">
        <f>9760</f>
        <v>9760</v>
      </c>
      <c r="Q107" s="260">
        <v>0</v>
      </c>
      <c r="R107" s="119">
        <f t="shared" ref="R107" si="119">P107+Q107</f>
        <v>9760</v>
      </c>
      <c r="S107" s="238">
        <f t="shared" si="106"/>
        <v>2763644</v>
      </c>
      <c r="T107" s="238">
        <f t="shared" si="107"/>
        <v>0</v>
      </c>
      <c r="U107" s="238">
        <f t="shared" si="108"/>
        <v>2763644</v>
      </c>
      <c r="V107" s="238">
        <f t="shared" si="109"/>
        <v>2763644</v>
      </c>
      <c r="W107" s="238">
        <f t="shared" si="110"/>
        <v>0</v>
      </c>
      <c r="X107" s="238">
        <f t="shared" si="111"/>
        <v>2763644</v>
      </c>
      <c r="Y107" s="119">
        <v>0</v>
      </c>
      <c r="Z107" s="119">
        <v>0</v>
      </c>
      <c r="AA107" s="119"/>
      <c r="AB107" s="119">
        <f t="shared" si="118"/>
        <v>0</v>
      </c>
      <c r="AC107" s="265">
        <f t="shared" si="87"/>
        <v>0</v>
      </c>
    </row>
    <row r="108" spans="1:92" s="23" customFormat="1" ht="61.5" customHeight="1" x14ac:dyDescent="0.2">
      <c r="A108" s="7"/>
      <c r="B108" s="86" t="s">
        <v>274</v>
      </c>
      <c r="C108" s="110" t="s">
        <v>277</v>
      </c>
      <c r="D108" s="137"/>
      <c r="E108" s="102" t="s">
        <v>479</v>
      </c>
      <c r="F108" s="103" t="s">
        <v>383</v>
      </c>
      <c r="G108" s="106" t="s">
        <v>386</v>
      </c>
      <c r="H108" s="117">
        <v>2024</v>
      </c>
      <c r="I108" s="103">
        <v>2026</v>
      </c>
      <c r="J108" s="119">
        <v>345573000</v>
      </c>
      <c r="K108" s="260">
        <v>0</v>
      </c>
      <c r="L108" s="119">
        <f>J108+K108</f>
        <v>345573000</v>
      </c>
      <c r="M108" s="119">
        <v>345573000</v>
      </c>
      <c r="N108" s="260">
        <v>0</v>
      </c>
      <c r="O108" s="119">
        <f>M108+N108</f>
        <v>345573000</v>
      </c>
      <c r="P108" s="119">
        <v>345573000</v>
      </c>
      <c r="Q108" s="260">
        <v>0</v>
      </c>
      <c r="R108" s="119">
        <f>P108+Q108</f>
        <v>345573000</v>
      </c>
      <c r="S108" s="238">
        <f t="shared" si="106"/>
        <v>1036719000</v>
      </c>
      <c r="T108" s="238">
        <f t="shared" si="107"/>
        <v>0</v>
      </c>
      <c r="U108" s="238">
        <f t="shared" si="108"/>
        <v>1036719000</v>
      </c>
      <c r="V108" s="238">
        <f t="shared" si="109"/>
        <v>1036719000</v>
      </c>
      <c r="W108" s="238">
        <f t="shared" si="110"/>
        <v>0</v>
      </c>
      <c r="X108" s="238">
        <f t="shared" si="111"/>
        <v>1036719000</v>
      </c>
      <c r="Y108" s="119">
        <v>0</v>
      </c>
      <c r="Z108" s="119">
        <v>0</v>
      </c>
      <c r="AA108" s="119"/>
      <c r="AB108" s="119">
        <f t="shared" si="118"/>
        <v>0</v>
      </c>
      <c r="AC108" s="265">
        <f t="shared" si="87"/>
        <v>0</v>
      </c>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row>
    <row r="109" spans="1:92" s="47" customFormat="1" ht="67.5" customHeight="1" x14ac:dyDescent="0.2">
      <c r="B109" s="86" t="s">
        <v>276</v>
      </c>
      <c r="C109" s="110" t="s">
        <v>279</v>
      </c>
      <c r="D109" s="137"/>
      <c r="E109" s="102" t="s">
        <v>479</v>
      </c>
      <c r="F109" s="103" t="s">
        <v>383</v>
      </c>
      <c r="G109" s="106" t="s">
        <v>386</v>
      </c>
      <c r="H109" s="117">
        <v>2024</v>
      </c>
      <c r="I109" s="103">
        <v>2026</v>
      </c>
      <c r="J109" s="259">
        <v>691146000</v>
      </c>
      <c r="K109" s="259">
        <v>0</v>
      </c>
      <c r="L109" s="96">
        <f>J109+K109</f>
        <v>691146000</v>
      </c>
      <c r="M109" s="259">
        <v>691146000</v>
      </c>
      <c r="N109" s="259">
        <v>0</v>
      </c>
      <c r="O109" s="96">
        <f>M109+N109</f>
        <v>691146000</v>
      </c>
      <c r="P109" s="259">
        <v>691146000</v>
      </c>
      <c r="Q109" s="259">
        <v>0</v>
      </c>
      <c r="R109" s="96">
        <f>P109+Q109</f>
        <v>691146000</v>
      </c>
      <c r="S109" s="238">
        <f t="shared" si="106"/>
        <v>2073438000</v>
      </c>
      <c r="T109" s="238">
        <f t="shared" si="107"/>
        <v>0</v>
      </c>
      <c r="U109" s="238">
        <f t="shared" si="108"/>
        <v>2073438000</v>
      </c>
      <c r="V109" s="238">
        <f t="shared" si="109"/>
        <v>2073438000</v>
      </c>
      <c r="W109" s="238">
        <f t="shared" si="110"/>
        <v>0</v>
      </c>
      <c r="X109" s="238">
        <f t="shared" si="111"/>
        <v>2073438000</v>
      </c>
      <c r="Y109" s="119">
        <v>0</v>
      </c>
      <c r="Z109" s="119">
        <v>0</v>
      </c>
      <c r="AA109" s="119"/>
      <c r="AB109" s="119">
        <f t="shared" si="118"/>
        <v>0</v>
      </c>
      <c r="AC109" s="265">
        <f t="shared" si="87"/>
        <v>0</v>
      </c>
    </row>
    <row r="110" spans="1:92" s="23" customFormat="1" ht="70.5" customHeight="1" x14ac:dyDescent="0.2">
      <c r="A110" s="7"/>
      <c r="B110" s="86" t="s">
        <v>278</v>
      </c>
      <c r="C110" s="110" t="s">
        <v>280</v>
      </c>
      <c r="D110" s="137"/>
      <c r="E110" s="233"/>
      <c r="F110" s="106" t="s">
        <v>405</v>
      </c>
      <c r="G110" s="124" t="s">
        <v>570</v>
      </c>
      <c r="H110" s="103">
        <v>2024</v>
      </c>
      <c r="I110" s="103">
        <v>2026</v>
      </c>
      <c r="J110" s="260">
        <v>44067450</v>
      </c>
      <c r="K110" s="260">
        <v>0</v>
      </c>
      <c r="L110" s="119">
        <f t="shared" si="97"/>
        <v>44067450</v>
      </c>
      <c r="M110" s="260">
        <v>44067450</v>
      </c>
      <c r="N110" s="260">
        <v>0</v>
      </c>
      <c r="O110" s="119">
        <f t="shared" ref="O110:O111" si="120">M110+N110</f>
        <v>44067450</v>
      </c>
      <c r="P110" s="260">
        <v>44067450</v>
      </c>
      <c r="Q110" s="260">
        <v>0</v>
      </c>
      <c r="R110" s="119">
        <f t="shared" ref="R110:R111" si="121">P110+Q110</f>
        <v>44067450</v>
      </c>
      <c r="S110" s="238">
        <f t="shared" si="106"/>
        <v>132202350</v>
      </c>
      <c r="T110" s="238">
        <f t="shared" si="107"/>
        <v>0</v>
      </c>
      <c r="U110" s="238">
        <f t="shared" si="108"/>
        <v>132202350</v>
      </c>
      <c r="V110" s="238">
        <f t="shared" si="109"/>
        <v>132202350</v>
      </c>
      <c r="W110" s="238">
        <f t="shared" si="110"/>
        <v>0</v>
      </c>
      <c r="X110" s="238">
        <f t="shared" si="111"/>
        <v>132202350</v>
      </c>
      <c r="Y110" s="119">
        <v>0</v>
      </c>
      <c r="Z110" s="119">
        <v>0</v>
      </c>
      <c r="AA110" s="119"/>
      <c r="AB110" s="119">
        <f t="shared" si="118"/>
        <v>0</v>
      </c>
      <c r="AC110" s="265">
        <f t="shared" si="87"/>
        <v>0</v>
      </c>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row>
    <row r="111" spans="1:92" s="47" customFormat="1" ht="60.75" customHeight="1" x14ac:dyDescent="0.2">
      <c r="B111" s="86" t="s">
        <v>281</v>
      </c>
      <c r="C111" s="101" t="s">
        <v>282</v>
      </c>
      <c r="D111" s="137"/>
      <c r="E111" s="102" t="s">
        <v>479</v>
      </c>
      <c r="F111" s="103" t="s">
        <v>383</v>
      </c>
      <c r="G111" s="102" t="s">
        <v>571</v>
      </c>
      <c r="H111" s="103">
        <v>2024</v>
      </c>
      <c r="I111" s="103">
        <v>2026</v>
      </c>
      <c r="J111" s="260">
        <v>262710</v>
      </c>
      <c r="K111" s="260">
        <v>0</v>
      </c>
      <c r="L111" s="119">
        <f t="shared" si="97"/>
        <v>262710</v>
      </c>
      <c r="M111" s="260">
        <v>262710</v>
      </c>
      <c r="N111" s="260">
        <v>0</v>
      </c>
      <c r="O111" s="119">
        <f t="shared" si="120"/>
        <v>262710</v>
      </c>
      <c r="P111" s="260">
        <v>262710</v>
      </c>
      <c r="Q111" s="260">
        <v>0</v>
      </c>
      <c r="R111" s="119">
        <f t="shared" si="121"/>
        <v>262710</v>
      </c>
      <c r="S111" s="238">
        <f t="shared" si="106"/>
        <v>788130</v>
      </c>
      <c r="T111" s="238">
        <f t="shared" si="107"/>
        <v>0</v>
      </c>
      <c r="U111" s="238">
        <f t="shared" si="108"/>
        <v>788130</v>
      </c>
      <c r="V111" s="238">
        <f t="shared" si="109"/>
        <v>788130</v>
      </c>
      <c r="W111" s="238">
        <f t="shared" si="110"/>
        <v>0</v>
      </c>
      <c r="X111" s="238">
        <f t="shared" si="111"/>
        <v>788130</v>
      </c>
      <c r="Y111" s="119">
        <v>0</v>
      </c>
      <c r="Z111" s="119">
        <v>0</v>
      </c>
      <c r="AA111" s="119"/>
      <c r="AB111" s="119">
        <f t="shared" si="118"/>
        <v>0</v>
      </c>
      <c r="AC111" s="265">
        <f t="shared" si="87"/>
        <v>0</v>
      </c>
    </row>
    <row r="112" spans="1:92" s="47" customFormat="1" ht="60.75" customHeight="1" x14ac:dyDescent="0.2">
      <c r="B112" s="86" t="s">
        <v>283</v>
      </c>
      <c r="C112" s="101" t="s">
        <v>284</v>
      </c>
      <c r="D112" s="137"/>
      <c r="E112" s="102" t="s">
        <v>116</v>
      </c>
      <c r="F112" s="103" t="s">
        <v>383</v>
      </c>
      <c r="G112" s="102" t="s">
        <v>572</v>
      </c>
      <c r="H112" s="103">
        <v>2024</v>
      </c>
      <c r="I112" s="103">
        <v>2026</v>
      </c>
      <c r="J112" s="260">
        <v>262710</v>
      </c>
      <c r="K112" s="260">
        <v>0</v>
      </c>
      <c r="L112" s="119">
        <f t="shared" ref="L112" si="122">J112+K112</f>
        <v>262710</v>
      </c>
      <c r="M112" s="260">
        <v>262710</v>
      </c>
      <c r="N112" s="260">
        <v>0</v>
      </c>
      <c r="O112" s="119">
        <f t="shared" ref="O112" si="123">M112+N112</f>
        <v>262710</v>
      </c>
      <c r="P112" s="260">
        <v>262710</v>
      </c>
      <c r="Q112" s="260">
        <v>0</v>
      </c>
      <c r="R112" s="119">
        <f t="shared" ref="R112" si="124">P112+Q112</f>
        <v>262710</v>
      </c>
      <c r="S112" s="238">
        <f t="shared" si="106"/>
        <v>788130</v>
      </c>
      <c r="T112" s="238">
        <f t="shared" si="107"/>
        <v>0</v>
      </c>
      <c r="U112" s="238">
        <f t="shared" si="108"/>
        <v>788130</v>
      </c>
      <c r="V112" s="238">
        <f t="shared" si="109"/>
        <v>788130</v>
      </c>
      <c r="W112" s="238">
        <f t="shared" si="110"/>
        <v>0</v>
      </c>
      <c r="X112" s="238">
        <f t="shared" si="111"/>
        <v>788130</v>
      </c>
      <c r="Y112" s="119">
        <v>0</v>
      </c>
      <c r="Z112" s="119">
        <v>0</v>
      </c>
      <c r="AA112" s="119"/>
      <c r="AB112" s="119">
        <f t="shared" si="118"/>
        <v>0</v>
      </c>
      <c r="AC112" s="265"/>
    </row>
    <row r="113" spans="1:92" s="47" customFormat="1" ht="44.25" customHeight="1" x14ac:dyDescent="0.2">
      <c r="B113" s="89"/>
      <c r="C113" s="125" t="s">
        <v>285</v>
      </c>
      <c r="D113" s="137"/>
      <c r="E113" s="137"/>
      <c r="F113" s="103"/>
      <c r="G113" s="102"/>
      <c r="H113" s="103"/>
      <c r="I113" s="103"/>
      <c r="J113" s="260"/>
      <c r="K113" s="260"/>
      <c r="L113" s="119"/>
      <c r="M113" s="260"/>
      <c r="N113" s="260"/>
      <c r="O113" s="119"/>
      <c r="P113" s="260"/>
      <c r="Q113" s="119"/>
      <c r="R113" s="119"/>
      <c r="S113" s="119"/>
      <c r="T113" s="119"/>
      <c r="U113" s="119"/>
      <c r="V113" s="119"/>
      <c r="W113" s="119"/>
      <c r="X113" s="119"/>
      <c r="Y113" s="119">
        <v>0</v>
      </c>
      <c r="Z113" s="119">
        <v>0</v>
      </c>
      <c r="AA113" s="119"/>
      <c r="AB113" s="119">
        <f t="shared" si="118"/>
        <v>0</v>
      </c>
      <c r="AC113" s="265">
        <f t="shared" si="87"/>
        <v>0</v>
      </c>
    </row>
    <row r="114" spans="1:92" s="47" customFormat="1" ht="42" customHeight="1" x14ac:dyDescent="0.2">
      <c r="B114" s="89" t="s">
        <v>286</v>
      </c>
      <c r="C114" s="141" t="s">
        <v>513</v>
      </c>
      <c r="D114" s="137"/>
      <c r="E114" s="103" t="s">
        <v>476</v>
      </c>
      <c r="F114" s="92" t="s">
        <v>514</v>
      </c>
      <c r="G114" s="102" t="s">
        <v>69</v>
      </c>
      <c r="H114" s="103">
        <v>2024</v>
      </c>
      <c r="I114" s="103">
        <v>2026</v>
      </c>
      <c r="J114" s="260">
        <v>133920</v>
      </c>
      <c r="K114" s="260">
        <v>0</v>
      </c>
      <c r="L114" s="119">
        <v>133920</v>
      </c>
      <c r="M114" s="260">
        <v>133920</v>
      </c>
      <c r="N114" s="260">
        <v>0</v>
      </c>
      <c r="O114" s="119">
        <v>133920</v>
      </c>
      <c r="P114" s="260">
        <v>133920</v>
      </c>
      <c r="Q114" s="260">
        <v>0</v>
      </c>
      <c r="R114" s="119">
        <v>133920</v>
      </c>
      <c r="S114" s="238">
        <f t="shared" ref="S114:S121" si="125">J114+M114+P114</f>
        <v>401760</v>
      </c>
      <c r="T114" s="238">
        <f t="shared" ref="T114:T121" si="126">K114+N114+Q114</f>
        <v>0</v>
      </c>
      <c r="U114" s="238">
        <f t="shared" ref="U114:U121" si="127">S114+T114</f>
        <v>401760</v>
      </c>
      <c r="V114" s="238">
        <f t="shared" ref="V114:V121" si="128">S114</f>
        <v>401760</v>
      </c>
      <c r="W114" s="238">
        <f t="shared" ref="W114:W121" si="129">T114</f>
        <v>0</v>
      </c>
      <c r="X114" s="238">
        <f t="shared" ref="X114:X121" si="130">V114+W114</f>
        <v>401760</v>
      </c>
      <c r="Y114" s="119">
        <v>0</v>
      </c>
      <c r="Z114" s="119">
        <v>0</v>
      </c>
      <c r="AA114" s="119"/>
      <c r="AB114" s="119">
        <f t="shared" si="118"/>
        <v>0</v>
      </c>
      <c r="AC114" s="265">
        <v>0</v>
      </c>
    </row>
    <row r="115" spans="1:92" s="47" customFormat="1" ht="39" customHeight="1" x14ac:dyDescent="0.2">
      <c r="B115" s="89" t="s">
        <v>287</v>
      </c>
      <c r="C115" s="101" t="s">
        <v>288</v>
      </c>
      <c r="D115" s="137"/>
      <c r="E115" s="103" t="s">
        <v>476</v>
      </c>
      <c r="F115" s="103" t="s">
        <v>383</v>
      </c>
      <c r="G115" s="102" t="s">
        <v>420</v>
      </c>
      <c r="H115" s="103">
        <v>2024</v>
      </c>
      <c r="I115" s="103">
        <v>2026</v>
      </c>
      <c r="J115" s="260">
        <v>691146000.00000012</v>
      </c>
      <c r="K115" s="260">
        <v>0</v>
      </c>
      <c r="L115" s="119">
        <f t="shared" si="97"/>
        <v>691146000.00000012</v>
      </c>
      <c r="M115" s="260">
        <v>691146000.00000012</v>
      </c>
      <c r="N115" s="260">
        <v>0</v>
      </c>
      <c r="O115" s="119">
        <f t="shared" ref="O115:O118" si="131">M115+N115</f>
        <v>691146000.00000012</v>
      </c>
      <c r="P115" s="260">
        <v>691146000.00000012</v>
      </c>
      <c r="Q115" s="260">
        <v>0</v>
      </c>
      <c r="R115" s="119">
        <f t="shared" ref="R115:R118" si="132">P115+Q115</f>
        <v>691146000.00000012</v>
      </c>
      <c r="S115" s="238">
        <f t="shared" si="125"/>
        <v>2073438000.0000005</v>
      </c>
      <c r="T115" s="238">
        <f t="shared" si="126"/>
        <v>0</v>
      </c>
      <c r="U115" s="238">
        <f t="shared" si="127"/>
        <v>2073438000.0000005</v>
      </c>
      <c r="V115" s="238">
        <f t="shared" si="128"/>
        <v>2073438000.0000005</v>
      </c>
      <c r="W115" s="238">
        <f t="shared" si="129"/>
        <v>0</v>
      </c>
      <c r="X115" s="238">
        <f t="shared" si="130"/>
        <v>2073438000.0000005</v>
      </c>
      <c r="Y115" s="119">
        <v>0</v>
      </c>
      <c r="Z115" s="119">
        <v>0</v>
      </c>
      <c r="AA115" s="119"/>
      <c r="AB115" s="119">
        <f t="shared" si="118"/>
        <v>0</v>
      </c>
      <c r="AC115" s="265">
        <f t="shared" si="87"/>
        <v>0</v>
      </c>
    </row>
    <row r="116" spans="1:92" s="47" customFormat="1" ht="43.5" customHeight="1" x14ac:dyDescent="0.2">
      <c r="B116" s="89" t="s">
        <v>50</v>
      </c>
      <c r="C116" s="101" t="s">
        <v>289</v>
      </c>
      <c r="D116" s="137"/>
      <c r="E116" s="103" t="s">
        <v>476</v>
      </c>
      <c r="F116" s="103" t="s">
        <v>383</v>
      </c>
      <c r="G116" s="102" t="s">
        <v>420</v>
      </c>
      <c r="H116" s="103">
        <v>2024</v>
      </c>
      <c r="I116" s="103">
        <v>2026</v>
      </c>
      <c r="J116" s="260">
        <v>31525200</v>
      </c>
      <c r="K116" s="260">
        <v>0</v>
      </c>
      <c r="L116" s="119">
        <f t="shared" si="97"/>
        <v>31525200</v>
      </c>
      <c r="M116" s="260">
        <v>31525200</v>
      </c>
      <c r="N116" s="260">
        <v>0</v>
      </c>
      <c r="O116" s="119">
        <f t="shared" si="131"/>
        <v>31525200</v>
      </c>
      <c r="P116" s="260">
        <v>31525200</v>
      </c>
      <c r="Q116" s="260">
        <v>0</v>
      </c>
      <c r="R116" s="119">
        <f t="shared" si="132"/>
        <v>31525200</v>
      </c>
      <c r="S116" s="238">
        <f t="shared" si="125"/>
        <v>94575600</v>
      </c>
      <c r="T116" s="238">
        <f t="shared" si="126"/>
        <v>0</v>
      </c>
      <c r="U116" s="238">
        <f t="shared" si="127"/>
        <v>94575600</v>
      </c>
      <c r="V116" s="238">
        <f t="shared" si="128"/>
        <v>94575600</v>
      </c>
      <c r="W116" s="238">
        <f t="shared" si="129"/>
        <v>0</v>
      </c>
      <c r="X116" s="238">
        <f t="shared" si="130"/>
        <v>94575600</v>
      </c>
      <c r="Y116" s="119">
        <v>0</v>
      </c>
      <c r="Z116" s="119">
        <v>0</v>
      </c>
      <c r="AA116" s="119"/>
      <c r="AB116" s="119">
        <f t="shared" si="118"/>
        <v>0</v>
      </c>
      <c r="AC116" s="265">
        <f t="shared" si="87"/>
        <v>0</v>
      </c>
    </row>
    <row r="117" spans="1:92" s="47" customFormat="1" ht="34.5" customHeight="1" x14ac:dyDescent="0.2">
      <c r="B117" s="89" t="s">
        <v>290</v>
      </c>
      <c r="C117" s="101" t="s">
        <v>515</v>
      </c>
      <c r="D117" s="137"/>
      <c r="E117" s="103" t="s">
        <v>476</v>
      </c>
      <c r="F117" s="103" t="s">
        <v>383</v>
      </c>
      <c r="G117" s="102" t="s">
        <v>420</v>
      </c>
      <c r="H117" s="103">
        <v>2024</v>
      </c>
      <c r="I117" s="103">
        <v>2026</v>
      </c>
      <c r="J117" s="260">
        <v>130898900</v>
      </c>
      <c r="K117" s="260">
        <v>0</v>
      </c>
      <c r="L117" s="119">
        <f t="shared" si="97"/>
        <v>130898900</v>
      </c>
      <c r="M117" s="260">
        <v>130898900</v>
      </c>
      <c r="N117" s="260">
        <v>0</v>
      </c>
      <c r="O117" s="119">
        <f t="shared" si="131"/>
        <v>130898900</v>
      </c>
      <c r="P117" s="260">
        <v>130898900</v>
      </c>
      <c r="Q117" s="260">
        <v>0</v>
      </c>
      <c r="R117" s="119">
        <f t="shared" si="132"/>
        <v>130898900</v>
      </c>
      <c r="S117" s="238">
        <f t="shared" si="125"/>
        <v>392696700</v>
      </c>
      <c r="T117" s="238">
        <f t="shared" si="126"/>
        <v>0</v>
      </c>
      <c r="U117" s="238">
        <f t="shared" si="127"/>
        <v>392696700</v>
      </c>
      <c r="V117" s="238">
        <f t="shared" si="128"/>
        <v>392696700</v>
      </c>
      <c r="W117" s="238">
        <f t="shared" si="129"/>
        <v>0</v>
      </c>
      <c r="X117" s="238">
        <f t="shared" si="130"/>
        <v>392696700</v>
      </c>
      <c r="Y117" s="119">
        <v>0</v>
      </c>
      <c r="Z117" s="119">
        <v>0</v>
      </c>
      <c r="AA117" s="119"/>
      <c r="AB117" s="119">
        <f t="shared" si="118"/>
        <v>0</v>
      </c>
      <c r="AC117" s="265">
        <f t="shared" si="87"/>
        <v>0</v>
      </c>
    </row>
    <row r="118" spans="1:92" s="47" customFormat="1" ht="56.25" customHeight="1" x14ac:dyDescent="0.2">
      <c r="B118" s="89" t="s">
        <v>291</v>
      </c>
      <c r="C118" s="101" t="s">
        <v>292</v>
      </c>
      <c r="D118" s="137"/>
      <c r="E118" s="263" t="s">
        <v>632</v>
      </c>
      <c r="F118" s="103" t="s">
        <v>391</v>
      </c>
      <c r="G118" s="102" t="s">
        <v>573</v>
      </c>
      <c r="H118" s="103">
        <v>2024</v>
      </c>
      <c r="I118" s="103">
        <v>2024</v>
      </c>
      <c r="J118" s="260">
        <v>200880</v>
      </c>
      <c r="K118" s="260">
        <v>0</v>
      </c>
      <c r="L118" s="119">
        <f t="shared" si="97"/>
        <v>200880</v>
      </c>
      <c r="M118" s="237">
        <v>0</v>
      </c>
      <c r="N118" s="237">
        <v>0</v>
      </c>
      <c r="O118" s="96">
        <f t="shared" si="131"/>
        <v>0</v>
      </c>
      <c r="P118" s="237">
        <v>0</v>
      </c>
      <c r="Q118" s="237">
        <v>0</v>
      </c>
      <c r="R118" s="96">
        <f t="shared" si="132"/>
        <v>0</v>
      </c>
      <c r="S118" s="238">
        <f t="shared" si="125"/>
        <v>200880</v>
      </c>
      <c r="T118" s="238">
        <f t="shared" si="126"/>
        <v>0</v>
      </c>
      <c r="U118" s="238">
        <f t="shared" si="127"/>
        <v>200880</v>
      </c>
      <c r="V118" s="238">
        <f t="shared" si="128"/>
        <v>200880</v>
      </c>
      <c r="W118" s="238">
        <f t="shared" si="129"/>
        <v>0</v>
      </c>
      <c r="X118" s="238">
        <f t="shared" si="130"/>
        <v>200880</v>
      </c>
      <c r="Y118" s="119">
        <v>0</v>
      </c>
      <c r="Z118" s="119">
        <v>0</v>
      </c>
      <c r="AA118" s="119"/>
      <c r="AB118" s="119">
        <f t="shared" si="118"/>
        <v>0</v>
      </c>
      <c r="AC118" s="265">
        <f t="shared" si="87"/>
        <v>0</v>
      </c>
    </row>
    <row r="119" spans="1:92" s="47" customFormat="1" ht="48.75" customHeight="1" x14ac:dyDescent="0.2">
      <c r="B119" s="89" t="s">
        <v>650</v>
      </c>
      <c r="C119" s="101" t="s">
        <v>294</v>
      </c>
      <c r="D119" s="137"/>
      <c r="E119" s="263" t="s">
        <v>619</v>
      </c>
      <c r="F119" s="103" t="s">
        <v>391</v>
      </c>
      <c r="G119" s="102" t="s">
        <v>574</v>
      </c>
      <c r="H119" s="103">
        <v>2024</v>
      </c>
      <c r="I119" s="103">
        <v>2026</v>
      </c>
      <c r="J119" s="260">
        <v>66960</v>
      </c>
      <c r="K119" s="260">
        <v>0</v>
      </c>
      <c r="L119" s="119">
        <f t="shared" si="97"/>
        <v>66960</v>
      </c>
      <c r="M119" s="260">
        <v>66960</v>
      </c>
      <c r="N119" s="260">
        <v>0</v>
      </c>
      <c r="O119" s="119">
        <f t="shared" ref="O119:O122" si="133">M119+N119</f>
        <v>66960</v>
      </c>
      <c r="P119" s="260">
        <v>66960</v>
      </c>
      <c r="Q119" s="260">
        <v>0</v>
      </c>
      <c r="R119" s="119">
        <f t="shared" ref="R119:R122" si="134">P119+Q119</f>
        <v>66960</v>
      </c>
      <c r="S119" s="238">
        <f t="shared" si="125"/>
        <v>200880</v>
      </c>
      <c r="T119" s="238">
        <f t="shared" si="126"/>
        <v>0</v>
      </c>
      <c r="U119" s="238">
        <f t="shared" si="127"/>
        <v>200880</v>
      </c>
      <c r="V119" s="238">
        <f t="shared" si="128"/>
        <v>200880</v>
      </c>
      <c r="W119" s="238">
        <f t="shared" si="129"/>
        <v>0</v>
      </c>
      <c r="X119" s="238">
        <f t="shared" si="130"/>
        <v>200880</v>
      </c>
      <c r="Y119" s="119">
        <v>0</v>
      </c>
      <c r="Z119" s="119">
        <v>0</v>
      </c>
      <c r="AA119" s="119"/>
      <c r="AB119" s="119">
        <f t="shared" si="118"/>
        <v>0</v>
      </c>
      <c r="AC119" s="265">
        <f t="shared" si="87"/>
        <v>0</v>
      </c>
    </row>
    <row r="120" spans="1:92" s="47" customFormat="1" ht="48.75" customHeight="1" x14ac:dyDescent="0.2">
      <c r="B120" s="89" t="s">
        <v>293</v>
      </c>
      <c r="C120" s="110" t="s">
        <v>296</v>
      </c>
      <c r="D120" s="137"/>
      <c r="E120" s="235" t="s">
        <v>474</v>
      </c>
      <c r="F120" s="103" t="s">
        <v>421</v>
      </c>
      <c r="G120" s="102" t="s">
        <v>575</v>
      </c>
      <c r="H120" s="103">
        <v>2024</v>
      </c>
      <c r="I120" s="103">
        <v>2026</v>
      </c>
      <c r="J120" s="260">
        <v>76240</v>
      </c>
      <c r="K120" s="260">
        <v>0</v>
      </c>
      <c r="L120" s="119">
        <f t="shared" si="97"/>
        <v>76240</v>
      </c>
      <c r="M120" s="260">
        <v>76240</v>
      </c>
      <c r="N120" s="260">
        <v>0</v>
      </c>
      <c r="O120" s="119">
        <f t="shared" si="133"/>
        <v>76240</v>
      </c>
      <c r="P120" s="260">
        <v>76240</v>
      </c>
      <c r="Q120" s="260">
        <v>0</v>
      </c>
      <c r="R120" s="119">
        <f t="shared" si="134"/>
        <v>76240</v>
      </c>
      <c r="S120" s="238">
        <f t="shared" si="125"/>
        <v>228720</v>
      </c>
      <c r="T120" s="238">
        <f t="shared" si="126"/>
        <v>0</v>
      </c>
      <c r="U120" s="238">
        <f t="shared" si="127"/>
        <v>228720</v>
      </c>
      <c r="V120" s="238">
        <f t="shared" si="128"/>
        <v>228720</v>
      </c>
      <c r="W120" s="238">
        <f t="shared" si="129"/>
        <v>0</v>
      </c>
      <c r="X120" s="238">
        <f t="shared" si="130"/>
        <v>228720</v>
      </c>
      <c r="Y120" s="119">
        <v>0</v>
      </c>
      <c r="Z120" s="119">
        <v>0</v>
      </c>
      <c r="AA120" s="119"/>
      <c r="AB120" s="119">
        <f t="shared" si="118"/>
        <v>0</v>
      </c>
      <c r="AC120" s="265">
        <f t="shared" si="87"/>
        <v>0</v>
      </c>
    </row>
    <row r="121" spans="1:92" s="47" customFormat="1" ht="69" customHeight="1" x14ac:dyDescent="0.2">
      <c r="B121" s="89" t="s">
        <v>295</v>
      </c>
      <c r="C121" s="125" t="s">
        <v>304</v>
      </c>
      <c r="D121" s="137"/>
      <c r="E121" s="106" t="s">
        <v>475</v>
      </c>
      <c r="F121" s="103" t="s">
        <v>383</v>
      </c>
      <c r="G121" s="102" t="s">
        <v>576</v>
      </c>
      <c r="H121" s="103">
        <v>2024</v>
      </c>
      <c r="I121" s="103">
        <v>2026</v>
      </c>
      <c r="J121" s="260">
        <v>2240900</v>
      </c>
      <c r="K121" s="260">
        <v>0</v>
      </c>
      <c r="L121" s="119">
        <f t="shared" si="97"/>
        <v>2240900</v>
      </c>
      <c r="M121" s="260">
        <v>2240900</v>
      </c>
      <c r="N121" s="260">
        <v>0</v>
      </c>
      <c r="O121" s="119">
        <f t="shared" si="133"/>
        <v>2240900</v>
      </c>
      <c r="P121" s="260">
        <v>2240900</v>
      </c>
      <c r="Q121" s="260">
        <v>0</v>
      </c>
      <c r="R121" s="119">
        <f t="shared" si="134"/>
        <v>2240900</v>
      </c>
      <c r="S121" s="238">
        <f t="shared" si="125"/>
        <v>6722700</v>
      </c>
      <c r="T121" s="238">
        <f t="shared" si="126"/>
        <v>0</v>
      </c>
      <c r="U121" s="238">
        <f t="shared" si="127"/>
        <v>6722700</v>
      </c>
      <c r="V121" s="238">
        <f t="shared" si="128"/>
        <v>6722700</v>
      </c>
      <c r="W121" s="238">
        <f t="shared" si="129"/>
        <v>0</v>
      </c>
      <c r="X121" s="238">
        <f t="shared" si="130"/>
        <v>6722700</v>
      </c>
      <c r="Y121" s="119">
        <v>0</v>
      </c>
      <c r="Z121" s="119">
        <v>0</v>
      </c>
      <c r="AA121" s="119"/>
      <c r="AB121" s="119">
        <f t="shared" si="118"/>
        <v>0</v>
      </c>
      <c r="AC121" s="265">
        <f t="shared" si="87"/>
        <v>0</v>
      </c>
    </row>
    <row r="122" spans="1:92" s="47" customFormat="1" ht="52.5" customHeight="1" x14ac:dyDescent="0.2">
      <c r="B122" s="89" t="s">
        <v>297</v>
      </c>
      <c r="C122" s="101" t="s">
        <v>613</v>
      </c>
      <c r="D122" s="137"/>
      <c r="E122" s="106" t="s">
        <v>475</v>
      </c>
      <c r="F122" s="103" t="s">
        <v>383</v>
      </c>
      <c r="G122" s="102" t="s">
        <v>577</v>
      </c>
      <c r="H122" s="103">
        <v>2024</v>
      </c>
      <c r="I122" s="103">
        <v>2026</v>
      </c>
      <c r="J122" s="260">
        <f>186742*12</f>
        <v>2240904</v>
      </c>
      <c r="K122" s="260">
        <v>0</v>
      </c>
      <c r="L122" s="119">
        <f t="shared" si="97"/>
        <v>2240904</v>
      </c>
      <c r="M122" s="260">
        <f>186742*12</f>
        <v>2240904</v>
      </c>
      <c r="N122" s="260">
        <v>0</v>
      </c>
      <c r="O122" s="119">
        <f t="shared" si="133"/>
        <v>2240904</v>
      </c>
      <c r="P122" s="260">
        <f>186742*12</f>
        <v>2240904</v>
      </c>
      <c r="Q122" s="260">
        <v>0</v>
      </c>
      <c r="R122" s="119">
        <f t="shared" si="134"/>
        <v>2240904</v>
      </c>
      <c r="S122" s="238">
        <f t="shared" ref="S122" si="135">J122+M122+P122</f>
        <v>6722712</v>
      </c>
      <c r="T122" s="238">
        <f t="shared" ref="T122" si="136">K122+N122+Q122</f>
        <v>0</v>
      </c>
      <c r="U122" s="238">
        <f t="shared" ref="U122" si="137">S122+T122</f>
        <v>6722712</v>
      </c>
      <c r="V122" s="238">
        <f t="shared" ref="V122" si="138">S122</f>
        <v>6722712</v>
      </c>
      <c r="W122" s="238">
        <f t="shared" ref="W122" si="139">T122</f>
        <v>0</v>
      </c>
      <c r="X122" s="238">
        <f t="shared" ref="X122" si="140">V122+W122</f>
        <v>6722712</v>
      </c>
      <c r="Y122" s="119">
        <v>0</v>
      </c>
      <c r="Z122" s="119">
        <v>0</v>
      </c>
      <c r="AA122" s="119"/>
      <c r="AB122" s="119">
        <f t="shared" si="118"/>
        <v>0</v>
      </c>
      <c r="AC122" s="265">
        <f t="shared" si="87"/>
        <v>0</v>
      </c>
    </row>
    <row r="123" spans="1:92" s="47" customFormat="1" ht="29.25" customHeight="1" x14ac:dyDescent="0.2">
      <c r="B123" s="89"/>
      <c r="C123" s="131" t="s">
        <v>298</v>
      </c>
      <c r="D123" s="137"/>
      <c r="E123" s="137"/>
      <c r="F123" s="102"/>
      <c r="G123" s="126"/>
      <c r="H123" s="102"/>
      <c r="I123" s="102"/>
      <c r="J123" s="260"/>
      <c r="K123" s="260"/>
      <c r="L123" s="119"/>
      <c r="M123" s="260"/>
      <c r="N123" s="260"/>
      <c r="O123" s="119"/>
      <c r="P123" s="260"/>
      <c r="Q123" s="119"/>
      <c r="R123" s="119"/>
      <c r="S123" s="119"/>
      <c r="T123" s="119"/>
      <c r="U123" s="119"/>
      <c r="V123" s="119"/>
      <c r="W123" s="119"/>
      <c r="X123" s="119"/>
      <c r="Y123" s="119">
        <v>0</v>
      </c>
      <c r="Z123" s="119">
        <v>0</v>
      </c>
      <c r="AA123" s="119"/>
      <c r="AB123" s="119">
        <f t="shared" si="118"/>
        <v>0</v>
      </c>
      <c r="AC123" s="265">
        <f t="shared" si="87"/>
        <v>0</v>
      </c>
    </row>
    <row r="124" spans="1:92" s="47" customFormat="1" ht="62.25" customHeight="1" x14ac:dyDescent="0.2">
      <c r="B124" s="91" t="s">
        <v>51</v>
      </c>
      <c r="C124" s="104" t="s">
        <v>522</v>
      </c>
      <c r="D124" s="137"/>
      <c r="E124" s="106" t="s">
        <v>475</v>
      </c>
      <c r="F124" s="102" t="s">
        <v>399</v>
      </c>
      <c r="G124" s="126" t="s">
        <v>459</v>
      </c>
      <c r="H124" s="102">
        <v>2024</v>
      </c>
      <c r="I124" s="102">
        <v>2026</v>
      </c>
      <c r="J124" s="259">
        <v>0</v>
      </c>
      <c r="K124" s="259">
        <v>5000000</v>
      </c>
      <c r="L124" s="96">
        <f t="shared" ref="L124:O124" si="141">J124+K124</f>
        <v>5000000</v>
      </c>
      <c r="M124" s="259">
        <v>0</v>
      </c>
      <c r="N124" s="259">
        <v>5000000</v>
      </c>
      <c r="O124" s="96">
        <f t="shared" si="141"/>
        <v>5000000</v>
      </c>
      <c r="P124" s="259">
        <v>0</v>
      </c>
      <c r="Q124" s="259">
        <v>5000000</v>
      </c>
      <c r="R124" s="96">
        <f t="shared" ref="R124" si="142">P124+Q124</f>
        <v>5000000</v>
      </c>
      <c r="S124" s="238">
        <f t="shared" ref="S124:S125" si="143">J124+M124+P124</f>
        <v>0</v>
      </c>
      <c r="T124" s="238">
        <f t="shared" ref="T124:T125" si="144">K124+N124+Q124</f>
        <v>15000000</v>
      </c>
      <c r="U124" s="238">
        <f t="shared" ref="U124:U125" si="145">S124+T124</f>
        <v>15000000</v>
      </c>
      <c r="V124" s="238">
        <v>0</v>
      </c>
      <c r="W124" s="238">
        <v>0</v>
      </c>
      <c r="X124" s="238">
        <f t="shared" ref="X124:X125" si="146">V124+W124</f>
        <v>0</v>
      </c>
      <c r="Y124" s="119">
        <v>0</v>
      </c>
      <c r="Z124" s="119">
        <v>0</v>
      </c>
      <c r="AA124" s="119"/>
      <c r="AB124" s="119">
        <f t="shared" si="118"/>
        <v>0</v>
      </c>
      <c r="AC124" s="265">
        <f t="shared" si="87"/>
        <v>15000000</v>
      </c>
    </row>
    <row r="125" spans="1:92" s="47" customFormat="1" ht="83.25" customHeight="1" x14ac:dyDescent="0.2">
      <c r="B125" s="91" t="s">
        <v>299</v>
      </c>
      <c r="C125" s="118" t="s">
        <v>300</v>
      </c>
      <c r="D125" s="137"/>
      <c r="E125" s="235" t="s">
        <v>433</v>
      </c>
      <c r="F125" s="103" t="s">
        <v>634</v>
      </c>
      <c r="G125" s="103" t="s">
        <v>422</v>
      </c>
      <c r="H125" s="103">
        <v>2024</v>
      </c>
      <c r="I125" s="103">
        <v>2026</v>
      </c>
      <c r="J125" s="260">
        <v>22323080</v>
      </c>
      <c r="K125" s="260">
        <v>0</v>
      </c>
      <c r="L125" s="119">
        <f>J125+K125</f>
        <v>22323080</v>
      </c>
      <c r="M125" s="260">
        <v>26787700</v>
      </c>
      <c r="N125" s="260">
        <v>0</v>
      </c>
      <c r="O125" s="119">
        <f>M125+N125</f>
        <v>26787700</v>
      </c>
      <c r="P125" s="260">
        <v>32145200</v>
      </c>
      <c r="Q125" s="260">
        <v>0</v>
      </c>
      <c r="R125" s="119">
        <f>P125+Q125</f>
        <v>32145200</v>
      </c>
      <c r="S125" s="238">
        <f t="shared" si="143"/>
        <v>81255980</v>
      </c>
      <c r="T125" s="238">
        <f t="shared" si="144"/>
        <v>0</v>
      </c>
      <c r="U125" s="238">
        <f t="shared" si="145"/>
        <v>81255980</v>
      </c>
      <c r="V125" s="238">
        <f t="shared" ref="V125" si="147">S125</f>
        <v>81255980</v>
      </c>
      <c r="W125" s="238">
        <f t="shared" ref="W125" si="148">T125</f>
        <v>0</v>
      </c>
      <c r="X125" s="238">
        <f t="shared" si="146"/>
        <v>81255980</v>
      </c>
      <c r="Y125" s="119">
        <v>0</v>
      </c>
      <c r="Z125" s="119">
        <v>0</v>
      </c>
      <c r="AA125" s="119"/>
      <c r="AB125" s="119">
        <f t="shared" si="118"/>
        <v>0</v>
      </c>
      <c r="AC125" s="265">
        <f t="shared" si="87"/>
        <v>0</v>
      </c>
    </row>
    <row r="126" spans="1:92" s="47" customFormat="1" ht="49.5" customHeight="1" x14ac:dyDescent="0.2">
      <c r="B126" s="91" t="s">
        <v>301</v>
      </c>
      <c r="C126" s="273" t="s">
        <v>302</v>
      </c>
      <c r="D126" s="137"/>
      <c r="E126" s="106" t="s">
        <v>606</v>
      </c>
      <c r="F126" s="103" t="s">
        <v>399</v>
      </c>
      <c r="G126" s="102" t="s">
        <v>578</v>
      </c>
      <c r="H126" s="108">
        <v>2024</v>
      </c>
      <c r="I126" s="108">
        <v>2026</v>
      </c>
      <c r="J126" s="260">
        <v>5577700</v>
      </c>
      <c r="K126" s="260">
        <v>0</v>
      </c>
      <c r="L126" s="119">
        <f t="shared" si="97"/>
        <v>5577700</v>
      </c>
      <c r="M126" s="260">
        <v>5577700</v>
      </c>
      <c r="N126" s="260">
        <v>0</v>
      </c>
      <c r="O126" s="119">
        <f t="shared" ref="O126:O127" si="149">M126+N126</f>
        <v>5577700</v>
      </c>
      <c r="P126" s="260">
        <v>5577700</v>
      </c>
      <c r="Q126" s="260">
        <v>0</v>
      </c>
      <c r="R126" s="119">
        <f>P126+Q126</f>
        <v>5577700</v>
      </c>
      <c r="S126" s="238">
        <f t="shared" ref="S126:S127" si="150">J126+M126+P126</f>
        <v>16733100</v>
      </c>
      <c r="T126" s="238">
        <f t="shared" ref="T126:T127" si="151">K126+N126+Q126</f>
        <v>0</v>
      </c>
      <c r="U126" s="238">
        <f t="shared" ref="U126:U127" si="152">S126+T126</f>
        <v>16733100</v>
      </c>
      <c r="V126" s="238">
        <f t="shared" ref="V126:V127" si="153">S126</f>
        <v>16733100</v>
      </c>
      <c r="W126" s="238">
        <f t="shared" ref="W126:W127" si="154">T126</f>
        <v>0</v>
      </c>
      <c r="X126" s="238">
        <f t="shared" ref="X126:X127" si="155">V126+W126</f>
        <v>16733100</v>
      </c>
      <c r="Y126" s="119">
        <v>0</v>
      </c>
      <c r="Z126" s="119">
        <v>0</v>
      </c>
      <c r="AA126" s="119"/>
      <c r="AB126" s="119">
        <f t="shared" si="118"/>
        <v>0</v>
      </c>
      <c r="AC126" s="265">
        <f t="shared" si="87"/>
        <v>0</v>
      </c>
    </row>
    <row r="127" spans="1:92" s="47" customFormat="1" ht="42" customHeight="1" x14ac:dyDescent="0.2">
      <c r="B127" s="91" t="s">
        <v>303</v>
      </c>
      <c r="C127" s="274" t="s">
        <v>458</v>
      </c>
      <c r="D127" s="137"/>
      <c r="E127" s="106" t="s">
        <v>606</v>
      </c>
      <c r="F127" s="103" t="s">
        <v>383</v>
      </c>
      <c r="G127" s="103" t="s">
        <v>69</v>
      </c>
      <c r="H127" s="108">
        <v>2024</v>
      </c>
      <c r="I127" s="108">
        <v>2026</v>
      </c>
      <c r="J127" s="260">
        <v>21111119.999999996</v>
      </c>
      <c r="K127" s="260">
        <v>0</v>
      </c>
      <c r="L127" s="119">
        <f t="shared" si="97"/>
        <v>21111119.999999996</v>
      </c>
      <c r="M127" s="260">
        <v>21111119.999999996</v>
      </c>
      <c r="N127" s="260">
        <v>0</v>
      </c>
      <c r="O127" s="119">
        <f t="shared" si="149"/>
        <v>21111119.999999996</v>
      </c>
      <c r="P127" s="260">
        <v>21111119.999999996</v>
      </c>
      <c r="Q127" s="260">
        <v>0</v>
      </c>
      <c r="R127" s="119">
        <f>P127+Q127</f>
        <v>21111119.999999996</v>
      </c>
      <c r="S127" s="238">
        <f t="shared" si="150"/>
        <v>63333359.999999985</v>
      </c>
      <c r="T127" s="238">
        <f t="shared" si="151"/>
        <v>0</v>
      </c>
      <c r="U127" s="238">
        <f t="shared" si="152"/>
        <v>63333359.999999985</v>
      </c>
      <c r="V127" s="238">
        <f t="shared" si="153"/>
        <v>63333359.999999985</v>
      </c>
      <c r="W127" s="238">
        <f t="shared" si="154"/>
        <v>0</v>
      </c>
      <c r="X127" s="238">
        <f t="shared" si="155"/>
        <v>63333359.999999985</v>
      </c>
      <c r="Y127" s="119">
        <v>0</v>
      </c>
      <c r="Z127" s="119">
        <v>0</v>
      </c>
      <c r="AA127" s="119"/>
      <c r="AB127" s="119">
        <f t="shared" ref="AB127" si="156">Y127+Z127</f>
        <v>0</v>
      </c>
      <c r="AC127" s="265">
        <f t="shared" si="87"/>
        <v>0</v>
      </c>
    </row>
    <row r="128" spans="1:92" s="24" customFormat="1" ht="24.75" customHeight="1" x14ac:dyDescent="0.2">
      <c r="A128" s="7"/>
      <c r="B128" s="89"/>
      <c r="C128" s="267" t="s">
        <v>72</v>
      </c>
      <c r="D128" s="125"/>
      <c r="E128" s="125"/>
      <c r="F128" s="100"/>
      <c r="G128" s="100"/>
      <c r="H128" s="100"/>
      <c r="I128" s="275"/>
      <c r="J128" s="268">
        <f>SUM(J82:J127)</f>
        <v>2738516251.5139112</v>
      </c>
      <c r="K128" s="268">
        <f t="shared" ref="K128:AC128" si="157">SUM(K82:K127)</f>
        <v>5737318</v>
      </c>
      <c r="L128" s="268">
        <f t="shared" si="157"/>
        <v>2744253569.5139112</v>
      </c>
      <c r="M128" s="268">
        <f t="shared" si="157"/>
        <v>2753163198.2227936</v>
      </c>
      <c r="N128" s="268">
        <f t="shared" si="157"/>
        <v>5191291.3988870885</v>
      </c>
      <c r="O128" s="268">
        <f t="shared" si="157"/>
        <v>2758354489.6216807</v>
      </c>
      <c r="P128" s="268">
        <f t="shared" si="157"/>
        <v>2767207602.5570192</v>
      </c>
      <c r="Q128" s="268">
        <f t="shared" si="157"/>
        <v>5262221.858420793</v>
      </c>
      <c r="R128" s="268">
        <f t="shared" si="157"/>
        <v>2772469824.4154401</v>
      </c>
      <c r="S128" s="268">
        <f t="shared" si="157"/>
        <v>8258887052.2937241</v>
      </c>
      <c r="T128" s="268">
        <f t="shared" si="157"/>
        <v>16190831.257307881</v>
      </c>
      <c r="U128" s="268">
        <f t="shared" si="157"/>
        <v>8275077883.551033</v>
      </c>
      <c r="V128" s="268">
        <f t="shared" si="157"/>
        <v>8258887052.2937241</v>
      </c>
      <c r="W128" s="268">
        <f t="shared" si="157"/>
        <v>1190831.257307882</v>
      </c>
      <c r="X128" s="268">
        <f t="shared" si="157"/>
        <v>8260077883.551033</v>
      </c>
      <c r="Y128" s="268">
        <f t="shared" si="157"/>
        <v>0</v>
      </c>
      <c r="Z128" s="268">
        <f t="shared" si="157"/>
        <v>0</v>
      </c>
      <c r="AA128" s="268">
        <f t="shared" si="157"/>
        <v>0</v>
      </c>
      <c r="AB128" s="268">
        <f t="shared" si="157"/>
        <v>0</v>
      </c>
      <c r="AC128" s="268">
        <f t="shared" si="157"/>
        <v>15000000</v>
      </c>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row>
    <row r="129" spans="1:29" ht="29.25" customHeight="1" x14ac:dyDescent="0.2">
      <c r="B129" s="140"/>
      <c r="C129" s="276" t="s">
        <v>647</v>
      </c>
      <c r="D129" s="277"/>
      <c r="E129" s="278"/>
      <c r="F129" s="279"/>
      <c r="G129" s="279"/>
      <c r="H129" s="279"/>
      <c r="I129" s="279"/>
      <c r="J129" s="280">
        <f t="shared" ref="J129:AC129" si="158">J28+J80+J128</f>
        <v>4161815352.8595243</v>
      </c>
      <c r="K129" s="280">
        <f t="shared" si="158"/>
        <v>5779318</v>
      </c>
      <c r="L129" s="280">
        <f t="shared" si="158"/>
        <v>4167594670.8595243</v>
      </c>
      <c r="M129" s="280">
        <f t="shared" si="158"/>
        <v>4197681650.1801748</v>
      </c>
      <c r="N129" s="280">
        <f t="shared" si="158"/>
        <v>5478048.3988870885</v>
      </c>
      <c r="O129" s="280">
        <f t="shared" si="158"/>
        <v>4203159698.5790615</v>
      </c>
      <c r="P129" s="280">
        <f t="shared" si="158"/>
        <v>4225334945.3477683</v>
      </c>
      <c r="Q129" s="280">
        <f t="shared" si="158"/>
        <v>5423267.2018031981</v>
      </c>
      <c r="R129" s="280">
        <f t="shared" si="158"/>
        <v>4230758212.5495715</v>
      </c>
      <c r="S129" s="280">
        <f t="shared" si="158"/>
        <v>12584831948.387466</v>
      </c>
      <c r="T129" s="280">
        <f t="shared" si="158"/>
        <v>16680633.600690287</v>
      </c>
      <c r="U129" s="280">
        <f t="shared" si="158"/>
        <v>12601512581.988159</v>
      </c>
      <c r="V129" s="280">
        <f t="shared" si="158"/>
        <v>12584831948.387466</v>
      </c>
      <c r="W129" s="280">
        <f t="shared" si="158"/>
        <v>1680633.6006902866</v>
      </c>
      <c r="X129" s="280">
        <f t="shared" si="158"/>
        <v>12586512581.988159</v>
      </c>
      <c r="Y129" s="280">
        <f t="shared" si="158"/>
        <v>0</v>
      </c>
      <c r="Z129" s="280">
        <f t="shared" si="158"/>
        <v>0</v>
      </c>
      <c r="AA129" s="280">
        <f t="shared" si="158"/>
        <v>0</v>
      </c>
      <c r="AB129" s="280">
        <f t="shared" si="158"/>
        <v>0</v>
      </c>
      <c r="AC129" s="280">
        <f t="shared" si="158"/>
        <v>15000000</v>
      </c>
    </row>
    <row r="130" spans="1:29" ht="27.75" customHeight="1" x14ac:dyDescent="0.2">
      <c r="B130" s="89"/>
      <c r="C130" s="185" t="s">
        <v>91</v>
      </c>
      <c r="D130" s="281"/>
      <c r="E130" s="281"/>
      <c r="F130" s="281"/>
      <c r="G130" s="281"/>
      <c r="H130" s="281"/>
      <c r="I130" s="281"/>
      <c r="J130" s="281"/>
      <c r="K130" s="281"/>
      <c r="L130" s="281"/>
      <c r="M130" s="281"/>
      <c r="N130" s="281"/>
      <c r="O130" s="281"/>
      <c r="P130" s="281"/>
      <c r="Q130" s="281"/>
      <c r="R130" s="281"/>
      <c r="S130" s="143"/>
      <c r="T130" s="143"/>
      <c r="U130" s="143"/>
      <c r="V130" s="143"/>
      <c r="W130" s="143"/>
      <c r="X130" s="143"/>
      <c r="Y130" s="143"/>
      <c r="Z130" s="143"/>
      <c r="AA130" s="143"/>
      <c r="AB130" s="143"/>
      <c r="AC130" s="144"/>
    </row>
    <row r="131" spans="1:29" ht="48" customHeight="1" thickBot="1" x14ac:dyDescent="0.25">
      <c r="B131" s="91"/>
      <c r="C131" s="143"/>
      <c r="D131" s="282"/>
      <c r="E131" s="282"/>
      <c r="F131" s="187" t="s">
        <v>146</v>
      </c>
      <c r="G131" s="283"/>
      <c r="H131" s="283"/>
      <c r="I131" s="283"/>
      <c r="J131" s="283"/>
      <c r="K131" s="283"/>
      <c r="L131" s="283"/>
      <c r="M131" s="283"/>
      <c r="N131" s="283"/>
      <c r="O131" s="284"/>
      <c r="P131" s="285"/>
      <c r="Q131" s="285"/>
      <c r="R131" s="282"/>
      <c r="S131" s="143"/>
      <c r="T131" s="143"/>
      <c r="U131" s="143"/>
      <c r="V131" s="143"/>
      <c r="W131" s="143"/>
      <c r="X131" s="143"/>
      <c r="Y131" s="143"/>
      <c r="Z131" s="143"/>
      <c r="AA131" s="143"/>
      <c r="AB131" s="143"/>
      <c r="AC131" s="144"/>
    </row>
    <row r="132" spans="1:29" ht="37.5" customHeight="1" thickBot="1" x14ac:dyDescent="0.25">
      <c r="A132" s="6"/>
      <c r="B132" s="89" t="s">
        <v>0</v>
      </c>
      <c r="C132" s="286" t="s">
        <v>33</v>
      </c>
      <c r="D132" s="287" t="s">
        <v>1</v>
      </c>
      <c r="E132" s="100" t="s">
        <v>34</v>
      </c>
      <c r="F132" s="286" t="s">
        <v>35</v>
      </c>
      <c r="G132" s="286"/>
      <c r="H132" s="286" t="s">
        <v>40</v>
      </c>
      <c r="I132" s="286"/>
      <c r="J132" s="288" t="s">
        <v>43</v>
      </c>
      <c r="K132" s="289"/>
      <c r="L132" s="290"/>
      <c r="M132" s="289" t="s">
        <v>44</v>
      </c>
      <c r="N132" s="289"/>
      <c r="O132" s="289"/>
      <c r="P132" s="288" t="s">
        <v>86</v>
      </c>
      <c r="Q132" s="289"/>
      <c r="R132" s="290"/>
      <c r="S132" s="288" t="s">
        <v>93</v>
      </c>
      <c r="T132" s="289"/>
      <c r="U132" s="290"/>
      <c r="V132" s="291" t="s">
        <v>423</v>
      </c>
      <c r="W132" s="291"/>
      <c r="X132" s="291"/>
      <c r="Y132" s="291"/>
      <c r="Z132" s="291"/>
      <c r="AA132" s="291"/>
      <c r="AB132" s="292"/>
      <c r="AC132" s="293" t="s">
        <v>39</v>
      </c>
    </row>
    <row r="133" spans="1:29" ht="39" customHeight="1" thickBot="1" x14ac:dyDescent="0.25">
      <c r="B133" s="91"/>
      <c r="C133" s="286"/>
      <c r="D133" s="287"/>
      <c r="E133" s="294" t="s">
        <v>36</v>
      </c>
      <c r="F133" s="295" t="s">
        <v>37</v>
      </c>
      <c r="G133" s="295" t="s">
        <v>38</v>
      </c>
      <c r="H133" s="286" t="s">
        <v>70</v>
      </c>
      <c r="I133" s="286" t="s">
        <v>71</v>
      </c>
      <c r="J133" s="296"/>
      <c r="K133" s="291"/>
      <c r="L133" s="292"/>
      <c r="M133" s="291"/>
      <c r="N133" s="291"/>
      <c r="O133" s="291"/>
      <c r="P133" s="296"/>
      <c r="Q133" s="291"/>
      <c r="R133" s="292"/>
      <c r="S133" s="296"/>
      <c r="T133" s="291"/>
      <c r="U133" s="292"/>
      <c r="V133" s="297" t="s">
        <v>97</v>
      </c>
      <c r="W133" s="297"/>
      <c r="X133" s="298"/>
      <c r="Y133" s="299" t="s">
        <v>96</v>
      </c>
      <c r="Z133" s="297"/>
      <c r="AA133" s="297"/>
      <c r="AB133" s="298"/>
      <c r="AC133" s="300"/>
    </row>
    <row r="134" spans="1:29" ht="45" customHeight="1" x14ac:dyDescent="0.2">
      <c r="B134" s="89"/>
      <c r="C134" s="286"/>
      <c r="D134" s="287"/>
      <c r="E134" s="294"/>
      <c r="F134" s="301"/>
      <c r="G134" s="301"/>
      <c r="H134" s="286"/>
      <c r="I134" s="286"/>
      <c r="J134" s="302" t="s">
        <v>17</v>
      </c>
      <c r="K134" s="302" t="s">
        <v>18</v>
      </c>
      <c r="L134" s="302" t="s">
        <v>21</v>
      </c>
      <c r="M134" s="302" t="s">
        <v>17</v>
      </c>
      <c r="N134" s="302" t="s">
        <v>18</v>
      </c>
      <c r="O134" s="302" t="s">
        <v>21</v>
      </c>
      <c r="P134" s="302" t="s">
        <v>17</v>
      </c>
      <c r="Q134" s="302" t="s">
        <v>18</v>
      </c>
      <c r="R134" s="302" t="s">
        <v>21</v>
      </c>
      <c r="S134" s="302" t="s">
        <v>17</v>
      </c>
      <c r="T134" s="302" t="s">
        <v>18</v>
      </c>
      <c r="U134" s="302" t="s">
        <v>21</v>
      </c>
      <c r="V134" s="302" t="s">
        <v>17</v>
      </c>
      <c r="W134" s="302" t="s">
        <v>18</v>
      </c>
      <c r="X134" s="302" t="s">
        <v>19</v>
      </c>
      <c r="Y134" s="302" t="s">
        <v>17</v>
      </c>
      <c r="Z134" s="302" t="s">
        <v>18</v>
      </c>
      <c r="AA134" s="302" t="s">
        <v>41</v>
      </c>
      <c r="AB134" s="302" t="s">
        <v>42</v>
      </c>
      <c r="AC134" s="303"/>
    </row>
    <row r="135" spans="1:29" ht="24.75" customHeight="1" x14ac:dyDescent="0.2">
      <c r="B135" s="91"/>
      <c r="C135" s="127" t="s">
        <v>305</v>
      </c>
      <c r="D135" s="304"/>
      <c r="E135" s="101"/>
      <c r="F135" s="129"/>
      <c r="G135" s="129"/>
      <c r="H135" s="100"/>
      <c r="I135" s="100"/>
      <c r="J135" s="260"/>
      <c r="K135" s="260"/>
      <c r="L135" s="260"/>
      <c r="M135" s="260"/>
      <c r="N135" s="260"/>
      <c r="O135" s="260"/>
      <c r="P135" s="260"/>
      <c r="Q135" s="260"/>
      <c r="R135" s="260"/>
      <c r="S135" s="260"/>
      <c r="T135" s="260"/>
      <c r="U135" s="260"/>
      <c r="V135" s="260"/>
      <c r="W135" s="260"/>
      <c r="X135" s="260"/>
      <c r="Y135" s="260"/>
      <c r="Z135" s="260"/>
      <c r="AA135" s="260"/>
      <c r="AB135" s="260"/>
      <c r="AC135" s="305"/>
    </row>
    <row r="136" spans="1:29" s="47" customFormat="1" ht="32.25" customHeight="1" x14ac:dyDescent="0.2">
      <c r="B136" s="86"/>
      <c r="C136" s="127" t="s">
        <v>306</v>
      </c>
      <c r="D136" s="125"/>
      <c r="E136" s="125"/>
      <c r="F136" s="129"/>
      <c r="G136" s="129"/>
      <c r="H136" s="100"/>
      <c r="I136" s="100"/>
      <c r="J136" s="260"/>
      <c r="K136" s="260"/>
      <c r="L136" s="260"/>
      <c r="M136" s="260"/>
      <c r="N136" s="260"/>
      <c r="O136" s="260"/>
      <c r="P136" s="260"/>
      <c r="Q136" s="260"/>
      <c r="R136" s="260"/>
      <c r="S136" s="119"/>
      <c r="T136" s="119"/>
      <c r="U136" s="119"/>
      <c r="V136" s="119"/>
      <c r="W136" s="119"/>
      <c r="X136" s="119"/>
      <c r="Y136" s="260"/>
      <c r="Z136" s="260"/>
      <c r="AA136" s="260"/>
      <c r="AB136" s="260"/>
      <c r="AC136" s="265"/>
    </row>
    <row r="137" spans="1:29" s="47" customFormat="1" ht="63" customHeight="1" x14ac:dyDescent="0.2">
      <c r="B137" s="89" t="s">
        <v>52</v>
      </c>
      <c r="C137" s="107" t="s">
        <v>460</v>
      </c>
      <c r="D137" s="125"/>
      <c r="E137" s="106" t="s">
        <v>475</v>
      </c>
      <c r="F137" s="103" t="s">
        <v>383</v>
      </c>
      <c r="G137" s="103" t="s">
        <v>424</v>
      </c>
      <c r="H137" s="103">
        <v>2024</v>
      </c>
      <c r="I137" s="103">
        <v>2026</v>
      </c>
      <c r="J137" s="260">
        <v>39797570</v>
      </c>
      <c r="K137" s="260">
        <v>0</v>
      </c>
      <c r="L137" s="260">
        <f>J137+K137</f>
        <v>39797570</v>
      </c>
      <c r="M137" s="260">
        <v>39797570</v>
      </c>
      <c r="N137" s="260">
        <v>0</v>
      </c>
      <c r="O137" s="260">
        <f>M137+N137</f>
        <v>39797570</v>
      </c>
      <c r="P137" s="260">
        <v>39797570</v>
      </c>
      <c r="Q137" s="260">
        <v>0</v>
      </c>
      <c r="R137" s="260">
        <f>P137+Q137</f>
        <v>39797570</v>
      </c>
      <c r="S137" s="238">
        <f t="shared" ref="S137" si="159">J137+M137+P137</f>
        <v>119392710</v>
      </c>
      <c r="T137" s="238">
        <f t="shared" ref="T137" si="160">K137+N137+Q137</f>
        <v>0</v>
      </c>
      <c r="U137" s="238">
        <f t="shared" ref="U137" si="161">S137+T137</f>
        <v>119392710</v>
      </c>
      <c r="V137" s="238">
        <f t="shared" ref="V137" si="162">S137</f>
        <v>119392710</v>
      </c>
      <c r="W137" s="238">
        <f t="shared" ref="W137" si="163">T137</f>
        <v>0</v>
      </c>
      <c r="X137" s="238">
        <f t="shared" ref="X137" si="164">V137+W137</f>
        <v>119392710</v>
      </c>
      <c r="Y137" s="119">
        <v>0</v>
      </c>
      <c r="Z137" s="119">
        <v>0</v>
      </c>
      <c r="AA137" s="119"/>
      <c r="AB137" s="119">
        <f t="shared" ref="AB137" si="165">Y137+Z137</f>
        <v>0</v>
      </c>
      <c r="AC137" s="265">
        <f>U137-X137-AB137</f>
        <v>0</v>
      </c>
    </row>
    <row r="138" spans="1:29" s="47" customFormat="1" ht="53.25" customHeight="1" x14ac:dyDescent="0.2">
      <c r="B138" s="89" t="s">
        <v>651</v>
      </c>
      <c r="C138" s="107" t="s">
        <v>308</v>
      </c>
      <c r="D138" s="125"/>
      <c r="E138" s="111" t="s">
        <v>469</v>
      </c>
      <c r="F138" s="102" t="s">
        <v>471</v>
      </c>
      <c r="G138" s="103" t="s">
        <v>397</v>
      </c>
      <c r="H138" s="103">
        <v>2025</v>
      </c>
      <c r="I138" s="103">
        <v>2026</v>
      </c>
      <c r="J138" s="260">
        <f>57*3*95000</f>
        <v>16245000</v>
      </c>
      <c r="K138" s="260">
        <v>0</v>
      </c>
      <c r="L138" s="260">
        <f t="shared" ref="L138:L147" si="166">J138+K138</f>
        <v>16245000</v>
      </c>
      <c r="M138" s="260">
        <f>(J138*1.05)</f>
        <v>17057250</v>
      </c>
      <c r="N138" s="260">
        <v>0</v>
      </c>
      <c r="O138" s="260">
        <f t="shared" ref="O138:O147" si="167">M138+N138</f>
        <v>17057250</v>
      </c>
      <c r="P138" s="260">
        <f>M138*1.05</f>
        <v>17910112.5</v>
      </c>
      <c r="Q138" s="260">
        <v>0</v>
      </c>
      <c r="R138" s="260">
        <f t="shared" ref="R138" si="168">P138+Q138</f>
        <v>17910112.5</v>
      </c>
      <c r="S138" s="238">
        <f t="shared" ref="S138:S147" si="169">J138+M138+P138</f>
        <v>51212362.5</v>
      </c>
      <c r="T138" s="238">
        <f t="shared" ref="T138:T147" si="170">K138+N138+Q138</f>
        <v>0</v>
      </c>
      <c r="U138" s="238">
        <f t="shared" ref="U138:U147" si="171">S138+T138</f>
        <v>51212362.5</v>
      </c>
      <c r="V138" s="238">
        <f t="shared" ref="V138:V147" si="172">S138</f>
        <v>51212362.5</v>
      </c>
      <c r="W138" s="238">
        <f t="shared" ref="W138:W147" si="173">T138</f>
        <v>0</v>
      </c>
      <c r="X138" s="238">
        <f t="shared" ref="X138:X147" si="174">V138+W138</f>
        <v>51212362.5</v>
      </c>
      <c r="Y138" s="119">
        <v>0</v>
      </c>
      <c r="Z138" s="119">
        <v>0</v>
      </c>
      <c r="AA138" s="119"/>
      <c r="AB138" s="119">
        <f t="shared" ref="AB138:AB158" si="175">Y138+Z138</f>
        <v>0</v>
      </c>
      <c r="AC138" s="265">
        <f t="shared" ref="AC138:AC192" si="176">U138-X138-AB138</f>
        <v>0</v>
      </c>
    </row>
    <row r="139" spans="1:29" s="47" customFormat="1" ht="52.5" customHeight="1" x14ac:dyDescent="0.2">
      <c r="B139" s="89" t="s">
        <v>307</v>
      </c>
      <c r="C139" s="105" t="s">
        <v>310</v>
      </c>
      <c r="D139" s="125"/>
      <c r="E139" s="235" t="s">
        <v>628</v>
      </c>
      <c r="F139" s="103" t="s">
        <v>385</v>
      </c>
      <c r="G139" s="106" t="s">
        <v>579</v>
      </c>
      <c r="H139" s="103">
        <v>2024</v>
      </c>
      <c r="I139" s="103">
        <v>2026</v>
      </c>
      <c r="J139" s="260">
        <v>345743</v>
      </c>
      <c r="K139" s="260">
        <v>0</v>
      </c>
      <c r="L139" s="260">
        <f t="shared" si="166"/>
        <v>345743</v>
      </c>
      <c r="M139" s="260">
        <v>345743</v>
      </c>
      <c r="N139" s="260">
        <v>0</v>
      </c>
      <c r="O139" s="260">
        <f t="shared" si="167"/>
        <v>345743</v>
      </c>
      <c r="P139" s="260">
        <v>345743</v>
      </c>
      <c r="Q139" s="260">
        <v>0</v>
      </c>
      <c r="R139" s="260">
        <f t="shared" ref="R139:R140" si="177">P139+Q139</f>
        <v>345743</v>
      </c>
      <c r="S139" s="238">
        <f t="shared" si="169"/>
        <v>1037229</v>
      </c>
      <c r="T139" s="238">
        <f t="shared" si="170"/>
        <v>0</v>
      </c>
      <c r="U139" s="238">
        <f t="shared" si="171"/>
        <v>1037229</v>
      </c>
      <c r="V139" s="238">
        <f t="shared" si="172"/>
        <v>1037229</v>
      </c>
      <c r="W139" s="238">
        <f t="shared" si="173"/>
        <v>0</v>
      </c>
      <c r="X139" s="238">
        <f t="shared" si="174"/>
        <v>1037229</v>
      </c>
      <c r="Y139" s="119">
        <v>0</v>
      </c>
      <c r="Z139" s="119">
        <v>0</v>
      </c>
      <c r="AA139" s="119"/>
      <c r="AB139" s="119">
        <f t="shared" si="175"/>
        <v>0</v>
      </c>
      <c r="AC139" s="265">
        <f t="shared" si="176"/>
        <v>0</v>
      </c>
    </row>
    <row r="140" spans="1:29" s="47" customFormat="1" ht="56.25" customHeight="1" x14ac:dyDescent="0.2">
      <c r="B140" s="89" t="s">
        <v>309</v>
      </c>
      <c r="C140" s="107" t="s">
        <v>312</v>
      </c>
      <c r="D140" s="125"/>
      <c r="E140" s="235" t="s">
        <v>433</v>
      </c>
      <c r="F140" s="103" t="s">
        <v>634</v>
      </c>
      <c r="G140" s="103" t="s">
        <v>413</v>
      </c>
      <c r="H140" s="117">
        <v>2024</v>
      </c>
      <c r="I140" s="103">
        <v>2026</v>
      </c>
      <c r="J140" s="260">
        <v>22323080</v>
      </c>
      <c r="K140" s="260">
        <v>0</v>
      </c>
      <c r="L140" s="260">
        <f t="shared" si="166"/>
        <v>22323080</v>
      </c>
      <c r="M140" s="260">
        <v>22323080</v>
      </c>
      <c r="N140" s="260">
        <v>0</v>
      </c>
      <c r="O140" s="260">
        <f t="shared" si="167"/>
        <v>22323080</v>
      </c>
      <c r="P140" s="260">
        <v>22323080</v>
      </c>
      <c r="Q140" s="260">
        <v>0</v>
      </c>
      <c r="R140" s="260">
        <f t="shared" si="177"/>
        <v>22323080</v>
      </c>
      <c r="S140" s="238">
        <f t="shared" si="169"/>
        <v>66969240</v>
      </c>
      <c r="T140" s="238">
        <f t="shared" si="170"/>
        <v>0</v>
      </c>
      <c r="U140" s="238">
        <f t="shared" si="171"/>
        <v>66969240</v>
      </c>
      <c r="V140" s="238">
        <f t="shared" si="172"/>
        <v>66969240</v>
      </c>
      <c r="W140" s="238">
        <f t="shared" si="173"/>
        <v>0</v>
      </c>
      <c r="X140" s="238">
        <f t="shared" si="174"/>
        <v>66969240</v>
      </c>
      <c r="Y140" s="119">
        <v>0</v>
      </c>
      <c r="Z140" s="119">
        <v>0</v>
      </c>
      <c r="AA140" s="119"/>
      <c r="AB140" s="119">
        <f t="shared" si="175"/>
        <v>0</v>
      </c>
      <c r="AC140" s="265">
        <f t="shared" si="176"/>
        <v>0</v>
      </c>
    </row>
    <row r="141" spans="1:29" s="47" customFormat="1" ht="50.25" customHeight="1" x14ac:dyDescent="0.2">
      <c r="B141" s="89" t="s">
        <v>311</v>
      </c>
      <c r="C141" s="107" t="s">
        <v>314</v>
      </c>
      <c r="D141" s="125"/>
      <c r="E141" s="235" t="s">
        <v>433</v>
      </c>
      <c r="F141" s="103" t="s">
        <v>634</v>
      </c>
      <c r="G141" s="103" t="s">
        <v>413</v>
      </c>
      <c r="H141" s="103">
        <v>2024</v>
      </c>
      <c r="I141" s="103">
        <v>2026</v>
      </c>
      <c r="J141" s="260">
        <v>22323080</v>
      </c>
      <c r="K141" s="260">
        <v>0</v>
      </c>
      <c r="L141" s="260">
        <f t="shared" si="166"/>
        <v>22323080</v>
      </c>
      <c r="M141" s="260">
        <v>22323080</v>
      </c>
      <c r="N141" s="260">
        <v>0</v>
      </c>
      <c r="O141" s="260">
        <f t="shared" si="167"/>
        <v>22323080</v>
      </c>
      <c r="P141" s="260">
        <v>22323080</v>
      </c>
      <c r="Q141" s="260">
        <v>0</v>
      </c>
      <c r="R141" s="119">
        <f>P141+Q141</f>
        <v>22323080</v>
      </c>
      <c r="S141" s="238">
        <f t="shared" si="169"/>
        <v>66969240</v>
      </c>
      <c r="T141" s="238">
        <f t="shared" si="170"/>
        <v>0</v>
      </c>
      <c r="U141" s="238">
        <f t="shared" si="171"/>
        <v>66969240</v>
      </c>
      <c r="V141" s="238">
        <f t="shared" si="172"/>
        <v>66969240</v>
      </c>
      <c r="W141" s="238">
        <f t="shared" si="173"/>
        <v>0</v>
      </c>
      <c r="X141" s="238">
        <f t="shared" si="174"/>
        <v>66969240</v>
      </c>
      <c r="Y141" s="119">
        <v>0</v>
      </c>
      <c r="Z141" s="119">
        <v>0</v>
      </c>
      <c r="AA141" s="119"/>
      <c r="AB141" s="119">
        <f t="shared" si="175"/>
        <v>0</v>
      </c>
      <c r="AC141" s="265">
        <f t="shared" si="176"/>
        <v>0</v>
      </c>
    </row>
    <row r="142" spans="1:29" s="47" customFormat="1" ht="41.25" customHeight="1" x14ac:dyDescent="0.2">
      <c r="B142" s="89" t="s">
        <v>313</v>
      </c>
      <c r="C142" s="107" t="s">
        <v>520</v>
      </c>
      <c r="D142" s="125"/>
      <c r="E142" s="240" t="s">
        <v>629</v>
      </c>
      <c r="F142" s="103" t="s">
        <v>518</v>
      </c>
      <c r="G142" s="117" t="s">
        <v>580</v>
      </c>
      <c r="H142" s="117">
        <v>2024</v>
      </c>
      <c r="I142" s="117">
        <v>2026</v>
      </c>
      <c r="J142" s="260">
        <f>2440+705273</f>
        <v>707713</v>
      </c>
      <c r="K142" s="260">
        <v>0</v>
      </c>
      <c r="L142" s="260">
        <f t="shared" si="166"/>
        <v>707713</v>
      </c>
      <c r="M142" s="260">
        <f>2440+705273</f>
        <v>707713</v>
      </c>
      <c r="N142" s="260">
        <v>0</v>
      </c>
      <c r="O142" s="260">
        <f t="shared" si="167"/>
        <v>707713</v>
      </c>
      <c r="P142" s="260">
        <f>2440+705273</f>
        <v>707713</v>
      </c>
      <c r="Q142" s="260">
        <v>0</v>
      </c>
      <c r="R142" s="119">
        <f>P142+Q142</f>
        <v>707713</v>
      </c>
      <c r="S142" s="238">
        <f t="shared" si="169"/>
        <v>2123139</v>
      </c>
      <c r="T142" s="238">
        <f t="shared" si="170"/>
        <v>0</v>
      </c>
      <c r="U142" s="238">
        <f t="shared" si="171"/>
        <v>2123139</v>
      </c>
      <c r="V142" s="238">
        <f t="shared" si="172"/>
        <v>2123139</v>
      </c>
      <c r="W142" s="238">
        <f t="shared" si="173"/>
        <v>0</v>
      </c>
      <c r="X142" s="238">
        <f t="shared" si="174"/>
        <v>2123139</v>
      </c>
      <c r="Y142" s="119">
        <v>0</v>
      </c>
      <c r="Z142" s="119">
        <v>0</v>
      </c>
      <c r="AA142" s="119"/>
      <c r="AB142" s="119">
        <f t="shared" si="175"/>
        <v>0</v>
      </c>
      <c r="AC142" s="265">
        <f t="shared" si="176"/>
        <v>0</v>
      </c>
    </row>
    <row r="143" spans="1:29" s="47" customFormat="1" ht="54.75" customHeight="1" x14ac:dyDescent="0.2">
      <c r="B143" s="89" t="s">
        <v>315</v>
      </c>
      <c r="C143" s="105" t="s">
        <v>317</v>
      </c>
      <c r="D143" s="125"/>
      <c r="E143" s="235" t="s">
        <v>628</v>
      </c>
      <c r="F143" s="103" t="s">
        <v>385</v>
      </c>
      <c r="G143" s="110" t="s">
        <v>581</v>
      </c>
      <c r="H143" s="103">
        <v>2024</v>
      </c>
      <c r="I143" s="103">
        <v>2026</v>
      </c>
      <c r="J143" s="260">
        <v>200002</v>
      </c>
      <c r="K143" s="260">
        <v>0</v>
      </c>
      <c r="L143" s="260">
        <f t="shared" si="166"/>
        <v>200002</v>
      </c>
      <c r="M143" s="260">
        <v>200002</v>
      </c>
      <c r="N143" s="260">
        <v>0</v>
      </c>
      <c r="O143" s="260">
        <f t="shared" si="167"/>
        <v>200002</v>
      </c>
      <c r="P143" s="260">
        <v>200002</v>
      </c>
      <c r="Q143" s="260">
        <v>0</v>
      </c>
      <c r="R143" s="260">
        <f t="shared" ref="R143:R144" si="178">P143+Q143</f>
        <v>200002</v>
      </c>
      <c r="S143" s="238">
        <f t="shared" si="169"/>
        <v>600006</v>
      </c>
      <c r="T143" s="238">
        <f t="shared" si="170"/>
        <v>0</v>
      </c>
      <c r="U143" s="238">
        <f t="shared" si="171"/>
        <v>600006</v>
      </c>
      <c r="V143" s="238">
        <f t="shared" si="172"/>
        <v>600006</v>
      </c>
      <c r="W143" s="238">
        <f t="shared" si="173"/>
        <v>0</v>
      </c>
      <c r="X143" s="238">
        <f t="shared" si="174"/>
        <v>600006</v>
      </c>
      <c r="Y143" s="119">
        <v>0</v>
      </c>
      <c r="Z143" s="119">
        <v>0</v>
      </c>
      <c r="AA143" s="119"/>
      <c r="AB143" s="119">
        <f t="shared" si="175"/>
        <v>0</v>
      </c>
      <c r="AC143" s="265">
        <f t="shared" si="176"/>
        <v>0</v>
      </c>
    </row>
    <row r="144" spans="1:29" s="47" customFormat="1" ht="78.75" customHeight="1" x14ac:dyDescent="0.2">
      <c r="B144" s="89" t="s">
        <v>316</v>
      </c>
      <c r="C144" s="107" t="s">
        <v>319</v>
      </c>
      <c r="D144" s="125"/>
      <c r="E144" s="234" t="s">
        <v>433</v>
      </c>
      <c r="F144" s="103" t="s">
        <v>634</v>
      </c>
      <c r="G144" s="103" t="s">
        <v>582</v>
      </c>
      <c r="H144" s="103">
        <v>2024</v>
      </c>
      <c r="I144" s="103">
        <v>2026</v>
      </c>
      <c r="J144" s="260">
        <v>22323080</v>
      </c>
      <c r="K144" s="260">
        <v>0</v>
      </c>
      <c r="L144" s="260">
        <f t="shared" si="166"/>
        <v>22323080</v>
      </c>
      <c r="M144" s="260">
        <v>22323080</v>
      </c>
      <c r="N144" s="260">
        <v>0</v>
      </c>
      <c r="O144" s="260">
        <f t="shared" si="167"/>
        <v>22323080</v>
      </c>
      <c r="P144" s="260">
        <v>22323080</v>
      </c>
      <c r="Q144" s="260">
        <v>0</v>
      </c>
      <c r="R144" s="260">
        <f t="shared" si="178"/>
        <v>22323080</v>
      </c>
      <c r="S144" s="238">
        <f t="shared" si="169"/>
        <v>66969240</v>
      </c>
      <c r="T144" s="238">
        <f t="shared" si="170"/>
        <v>0</v>
      </c>
      <c r="U144" s="238">
        <f t="shared" si="171"/>
        <v>66969240</v>
      </c>
      <c r="V144" s="238">
        <f t="shared" si="172"/>
        <v>66969240</v>
      </c>
      <c r="W144" s="238">
        <f t="shared" si="173"/>
        <v>0</v>
      </c>
      <c r="X144" s="238">
        <f t="shared" si="174"/>
        <v>66969240</v>
      </c>
      <c r="Y144" s="119">
        <v>0</v>
      </c>
      <c r="Z144" s="119">
        <v>0</v>
      </c>
      <c r="AA144" s="119"/>
      <c r="AB144" s="119">
        <f t="shared" si="175"/>
        <v>0</v>
      </c>
      <c r="AC144" s="265">
        <f t="shared" si="176"/>
        <v>0</v>
      </c>
    </row>
    <row r="145" spans="2:29" s="47" customFormat="1" ht="65.25" customHeight="1" x14ac:dyDescent="0.2">
      <c r="B145" s="89" t="s">
        <v>318</v>
      </c>
      <c r="C145" s="141" t="s">
        <v>604</v>
      </c>
      <c r="D145" s="125"/>
      <c r="E145" s="234" t="s">
        <v>635</v>
      </c>
      <c r="F145" s="106" t="s">
        <v>462</v>
      </c>
      <c r="G145" s="103" t="s">
        <v>583</v>
      </c>
      <c r="H145" s="103">
        <v>2024</v>
      </c>
      <c r="I145" s="103">
        <v>2026</v>
      </c>
      <c r="J145" s="260">
        <v>50000</v>
      </c>
      <c r="K145" s="260">
        <v>0</v>
      </c>
      <c r="L145" s="260">
        <f t="shared" si="166"/>
        <v>50000</v>
      </c>
      <c r="M145" s="260">
        <v>50000</v>
      </c>
      <c r="N145" s="260">
        <v>0</v>
      </c>
      <c r="O145" s="260">
        <f t="shared" si="167"/>
        <v>50000</v>
      </c>
      <c r="P145" s="260">
        <v>50000</v>
      </c>
      <c r="Q145" s="260">
        <v>0</v>
      </c>
      <c r="R145" s="119">
        <f>P145+Q145</f>
        <v>50000</v>
      </c>
      <c r="S145" s="238">
        <f t="shared" si="169"/>
        <v>150000</v>
      </c>
      <c r="T145" s="238">
        <f t="shared" si="170"/>
        <v>0</v>
      </c>
      <c r="U145" s="238">
        <f t="shared" si="171"/>
        <v>150000</v>
      </c>
      <c r="V145" s="238">
        <f t="shared" si="172"/>
        <v>150000</v>
      </c>
      <c r="W145" s="238">
        <f t="shared" si="173"/>
        <v>0</v>
      </c>
      <c r="X145" s="238">
        <f t="shared" si="174"/>
        <v>150000</v>
      </c>
      <c r="Y145" s="119">
        <v>0</v>
      </c>
      <c r="Z145" s="119">
        <v>0</v>
      </c>
      <c r="AA145" s="119"/>
      <c r="AB145" s="119">
        <f t="shared" si="175"/>
        <v>0</v>
      </c>
      <c r="AC145" s="265">
        <f t="shared" si="176"/>
        <v>0</v>
      </c>
    </row>
    <row r="146" spans="2:29" s="47" customFormat="1" ht="63" customHeight="1" x14ac:dyDescent="0.2">
      <c r="B146" s="89" t="s">
        <v>320</v>
      </c>
      <c r="C146" s="101" t="s">
        <v>461</v>
      </c>
      <c r="D146" s="125"/>
      <c r="E146" s="306"/>
      <c r="F146" s="103" t="s">
        <v>425</v>
      </c>
      <c r="G146" s="103" t="s">
        <v>577</v>
      </c>
      <c r="H146" s="103">
        <v>2024</v>
      </c>
      <c r="I146" s="103">
        <v>2026</v>
      </c>
      <c r="J146" s="260">
        <v>5941542.307692308</v>
      </c>
      <c r="K146" s="260">
        <v>5989257.692307692</v>
      </c>
      <c r="L146" s="260">
        <f t="shared" si="166"/>
        <v>11930800</v>
      </c>
      <c r="M146" s="260">
        <v>5941542.307692308</v>
      </c>
      <c r="N146" s="260">
        <v>5989257.692307692</v>
      </c>
      <c r="O146" s="260">
        <f t="shared" si="167"/>
        <v>11930800</v>
      </c>
      <c r="P146" s="260">
        <v>5941542.307692308</v>
      </c>
      <c r="Q146" s="260">
        <v>5989257.692307692</v>
      </c>
      <c r="R146" s="119">
        <v>11930800</v>
      </c>
      <c r="S146" s="238">
        <f t="shared" si="169"/>
        <v>17824626.923076924</v>
      </c>
      <c r="T146" s="238">
        <f t="shared" si="170"/>
        <v>17967773.076923076</v>
      </c>
      <c r="U146" s="238">
        <f t="shared" si="171"/>
        <v>35792400</v>
      </c>
      <c r="V146" s="238">
        <f t="shared" si="172"/>
        <v>17824626.923076924</v>
      </c>
      <c r="W146" s="238">
        <f t="shared" si="173"/>
        <v>17967773.076923076</v>
      </c>
      <c r="X146" s="238">
        <f t="shared" si="174"/>
        <v>35792400</v>
      </c>
      <c r="Y146" s="119">
        <v>0</v>
      </c>
      <c r="Z146" s="119">
        <v>0</v>
      </c>
      <c r="AA146" s="119"/>
      <c r="AB146" s="119">
        <f t="shared" si="175"/>
        <v>0</v>
      </c>
      <c r="AC146" s="265">
        <f t="shared" si="176"/>
        <v>0</v>
      </c>
    </row>
    <row r="147" spans="2:29" s="47" customFormat="1" ht="73.5" customHeight="1" x14ac:dyDescent="0.2">
      <c r="B147" s="89" t="s">
        <v>321</v>
      </c>
      <c r="C147" s="101" t="s">
        <v>322</v>
      </c>
      <c r="D147" s="125"/>
      <c r="E147" s="306"/>
      <c r="F147" s="103" t="s">
        <v>425</v>
      </c>
      <c r="G147" s="103" t="s">
        <v>577</v>
      </c>
      <c r="H147" s="103">
        <v>2024</v>
      </c>
      <c r="I147" s="103">
        <v>2026</v>
      </c>
      <c r="J147" s="260">
        <v>297077.11538461538</v>
      </c>
      <c r="K147" s="260">
        <v>299462.88461538462</v>
      </c>
      <c r="L147" s="260">
        <f t="shared" si="166"/>
        <v>596540</v>
      </c>
      <c r="M147" s="260">
        <v>297077.11538461538</v>
      </c>
      <c r="N147" s="260">
        <v>299462.88461538462</v>
      </c>
      <c r="O147" s="260">
        <f t="shared" si="167"/>
        <v>596540</v>
      </c>
      <c r="P147" s="260">
        <v>297077.11538461538</v>
      </c>
      <c r="Q147" s="260">
        <v>299462.88461538462</v>
      </c>
      <c r="R147" s="119">
        <v>596540</v>
      </c>
      <c r="S147" s="238">
        <f t="shared" si="169"/>
        <v>891231.34615384613</v>
      </c>
      <c r="T147" s="238">
        <f t="shared" si="170"/>
        <v>898388.65384615387</v>
      </c>
      <c r="U147" s="238">
        <f t="shared" si="171"/>
        <v>1789620</v>
      </c>
      <c r="V147" s="238">
        <f t="shared" si="172"/>
        <v>891231.34615384613</v>
      </c>
      <c r="W147" s="238">
        <f t="shared" si="173"/>
        <v>898388.65384615387</v>
      </c>
      <c r="X147" s="238">
        <f t="shared" si="174"/>
        <v>1789620</v>
      </c>
      <c r="Y147" s="119">
        <v>0</v>
      </c>
      <c r="Z147" s="119">
        <v>0</v>
      </c>
      <c r="AA147" s="119"/>
      <c r="AB147" s="119">
        <f t="shared" si="175"/>
        <v>0</v>
      </c>
      <c r="AC147" s="265">
        <f t="shared" si="176"/>
        <v>0</v>
      </c>
    </row>
    <row r="148" spans="2:29" s="47" customFormat="1" ht="31.5" customHeight="1" x14ac:dyDescent="0.2">
      <c r="B148" s="89"/>
      <c r="C148" s="128" t="s">
        <v>323</v>
      </c>
      <c r="D148" s="125"/>
      <c r="E148" s="306"/>
      <c r="F148" s="129"/>
      <c r="G148" s="129"/>
      <c r="H148" s="129"/>
      <c r="I148" s="129"/>
      <c r="J148" s="129"/>
      <c r="K148" s="260"/>
      <c r="L148" s="260"/>
      <c r="M148" s="260"/>
      <c r="N148" s="260"/>
      <c r="O148" s="260"/>
      <c r="P148" s="260"/>
      <c r="Q148" s="260"/>
      <c r="R148" s="260"/>
      <c r="S148" s="119"/>
      <c r="T148" s="119"/>
      <c r="U148" s="119"/>
      <c r="V148" s="119"/>
      <c r="W148" s="119"/>
      <c r="X148" s="119"/>
      <c r="Y148" s="119">
        <v>0</v>
      </c>
      <c r="Z148" s="119">
        <v>0</v>
      </c>
      <c r="AA148" s="119"/>
      <c r="AB148" s="119">
        <f t="shared" si="175"/>
        <v>0</v>
      </c>
      <c r="AC148" s="265">
        <f t="shared" si="176"/>
        <v>0</v>
      </c>
    </row>
    <row r="149" spans="2:29" s="47" customFormat="1" ht="52.5" customHeight="1" x14ac:dyDescent="0.2">
      <c r="B149" s="89" t="s">
        <v>54</v>
      </c>
      <c r="C149" s="107" t="s">
        <v>324</v>
      </c>
      <c r="D149" s="125"/>
      <c r="E149" s="307" t="s">
        <v>433</v>
      </c>
      <c r="F149" s="103" t="s">
        <v>634</v>
      </c>
      <c r="G149" s="103" t="s">
        <v>413</v>
      </c>
      <c r="H149" s="103">
        <v>2024</v>
      </c>
      <c r="I149" s="103">
        <v>2026</v>
      </c>
      <c r="J149" s="260">
        <v>22323080</v>
      </c>
      <c r="K149" s="260">
        <v>0</v>
      </c>
      <c r="L149" s="119">
        <f>J149+K149</f>
        <v>22323080</v>
      </c>
      <c r="M149" s="260">
        <v>26787700</v>
      </c>
      <c r="N149" s="260">
        <v>0</v>
      </c>
      <c r="O149" s="119">
        <f>M149+N149</f>
        <v>26787700</v>
      </c>
      <c r="P149" s="260">
        <v>32145200</v>
      </c>
      <c r="Q149" s="260">
        <v>0</v>
      </c>
      <c r="R149" s="119">
        <f>P149+Q149</f>
        <v>32145200</v>
      </c>
      <c r="S149" s="238">
        <f t="shared" ref="S149:S158" si="179">J149+M149+P149</f>
        <v>81255980</v>
      </c>
      <c r="T149" s="238">
        <f t="shared" ref="T149:T158" si="180">K149+N149+Q149</f>
        <v>0</v>
      </c>
      <c r="U149" s="238">
        <f t="shared" ref="U149:U158" si="181">S149+T149</f>
        <v>81255980</v>
      </c>
      <c r="V149" s="238">
        <f t="shared" ref="V149:V158" si="182">S149</f>
        <v>81255980</v>
      </c>
      <c r="W149" s="238">
        <f t="shared" ref="W149:W158" si="183">T149</f>
        <v>0</v>
      </c>
      <c r="X149" s="238">
        <f t="shared" ref="X149:X158" si="184">V149+W149</f>
        <v>81255980</v>
      </c>
      <c r="Y149" s="119">
        <v>0</v>
      </c>
      <c r="Z149" s="119">
        <v>0</v>
      </c>
      <c r="AA149" s="119"/>
      <c r="AB149" s="119">
        <f t="shared" si="175"/>
        <v>0</v>
      </c>
      <c r="AC149" s="265">
        <f t="shared" si="176"/>
        <v>0</v>
      </c>
    </row>
    <row r="150" spans="2:29" s="47" customFormat="1" ht="53.25" customHeight="1" x14ac:dyDescent="0.2">
      <c r="B150" s="89" t="s">
        <v>652</v>
      </c>
      <c r="C150" s="130" t="s">
        <v>584</v>
      </c>
      <c r="D150" s="125"/>
      <c r="E150" s="106" t="s">
        <v>475</v>
      </c>
      <c r="F150" s="103" t="s">
        <v>383</v>
      </c>
      <c r="G150" s="103" t="s">
        <v>585</v>
      </c>
      <c r="H150" s="103">
        <v>2024</v>
      </c>
      <c r="I150" s="103">
        <v>2026</v>
      </c>
      <c r="J150" s="119">
        <f>3473630+4650420</f>
        <v>8124050</v>
      </c>
      <c r="K150" s="260">
        <v>0</v>
      </c>
      <c r="L150" s="260">
        <f>J150+K150</f>
        <v>8124050</v>
      </c>
      <c r="M150" s="119">
        <f>3473630+4650420</f>
        <v>8124050</v>
      </c>
      <c r="N150" s="260">
        <v>0</v>
      </c>
      <c r="O150" s="260">
        <f>M150+N150</f>
        <v>8124050</v>
      </c>
      <c r="P150" s="119">
        <f>3473630+4650420</f>
        <v>8124050</v>
      </c>
      <c r="Q150" s="260">
        <v>0</v>
      </c>
      <c r="R150" s="260">
        <f>P150+Q150</f>
        <v>8124050</v>
      </c>
      <c r="S150" s="238">
        <f t="shared" si="179"/>
        <v>24372150</v>
      </c>
      <c r="T150" s="238">
        <f t="shared" si="180"/>
        <v>0</v>
      </c>
      <c r="U150" s="238">
        <f t="shared" si="181"/>
        <v>24372150</v>
      </c>
      <c r="V150" s="238">
        <f t="shared" si="182"/>
        <v>24372150</v>
      </c>
      <c r="W150" s="238">
        <f t="shared" si="183"/>
        <v>0</v>
      </c>
      <c r="X150" s="238">
        <f t="shared" si="184"/>
        <v>24372150</v>
      </c>
      <c r="Y150" s="119">
        <v>0</v>
      </c>
      <c r="Z150" s="119">
        <v>0</v>
      </c>
      <c r="AA150" s="119"/>
      <c r="AB150" s="119">
        <f t="shared" si="175"/>
        <v>0</v>
      </c>
      <c r="AC150" s="265">
        <f t="shared" si="176"/>
        <v>0</v>
      </c>
    </row>
    <row r="151" spans="2:29" s="47" customFormat="1" ht="40.5" customHeight="1" x14ac:dyDescent="0.2">
      <c r="B151" s="89" t="s">
        <v>653</v>
      </c>
      <c r="C151" s="107" t="s">
        <v>325</v>
      </c>
      <c r="D151" s="125"/>
      <c r="E151" s="106" t="s">
        <v>475</v>
      </c>
      <c r="F151" s="103" t="s">
        <v>383</v>
      </c>
      <c r="G151" s="103" t="s">
        <v>585</v>
      </c>
      <c r="H151" s="103">
        <v>2024</v>
      </c>
      <c r="I151" s="103">
        <v>2026</v>
      </c>
      <c r="J151" s="119">
        <f>3473630+17260500</f>
        <v>20734130</v>
      </c>
      <c r="K151" s="260">
        <v>0</v>
      </c>
      <c r="L151" s="260">
        <f>J151+K151</f>
        <v>20734130</v>
      </c>
      <c r="M151" s="119">
        <f>3473630+17260500</f>
        <v>20734130</v>
      </c>
      <c r="N151" s="260">
        <v>0</v>
      </c>
      <c r="O151" s="260">
        <f>M151+N151</f>
        <v>20734130</v>
      </c>
      <c r="P151" s="119">
        <f>3473630+17260500</f>
        <v>20734130</v>
      </c>
      <c r="Q151" s="260">
        <v>0</v>
      </c>
      <c r="R151" s="260">
        <f>P151+Q151</f>
        <v>20734130</v>
      </c>
      <c r="S151" s="238">
        <f t="shared" si="179"/>
        <v>62202390</v>
      </c>
      <c r="T151" s="238">
        <f t="shared" si="180"/>
        <v>0</v>
      </c>
      <c r="U151" s="238">
        <f t="shared" si="181"/>
        <v>62202390</v>
      </c>
      <c r="V151" s="238">
        <f t="shared" si="182"/>
        <v>62202390</v>
      </c>
      <c r="W151" s="238">
        <f t="shared" si="183"/>
        <v>0</v>
      </c>
      <c r="X151" s="238">
        <f t="shared" si="184"/>
        <v>62202390</v>
      </c>
      <c r="Y151" s="119">
        <v>0</v>
      </c>
      <c r="Z151" s="119">
        <v>0</v>
      </c>
      <c r="AA151" s="119"/>
      <c r="AB151" s="119">
        <f t="shared" si="175"/>
        <v>0</v>
      </c>
      <c r="AC151" s="265">
        <f t="shared" si="176"/>
        <v>0</v>
      </c>
    </row>
    <row r="152" spans="2:29" s="47" customFormat="1" ht="39.75" customHeight="1" x14ac:dyDescent="0.2">
      <c r="B152" s="89" t="s">
        <v>654</v>
      </c>
      <c r="C152" s="107" t="s">
        <v>326</v>
      </c>
      <c r="D152" s="125"/>
      <c r="E152" s="106" t="s">
        <v>475</v>
      </c>
      <c r="F152" s="103" t="s">
        <v>383</v>
      </c>
      <c r="G152" s="103" t="s">
        <v>386</v>
      </c>
      <c r="H152" s="103">
        <v>2025</v>
      </c>
      <c r="I152" s="103">
        <v>2026</v>
      </c>
      <c r="J152" s="119">
        <f>3473630+17260500</f>
        <v>20734130</v>
      </c>
      <c r="K152" s="260">
        <v>0</v>
      </c>
      <c r="L152" s="260">
        <f t="shared" ref="L152:L154" si="185">J152+K152</f>
        <v>20734130</v>
      </c>
      <c r="M152" s="119">
        <f>3473630+17260500</f>
        <v>20734130</v>
      </c>
      <c r="N152" s="260">
        <v>0</v>
      </c>
      <c r="O152" s="260">
        <f t="shared" ref="O152:O153" si="186">M152+N152</f>
        <v>20734130</v>
      </c>
      <c r="P152" s="119">
        <f>3473630+17260500</f>
        <v>20734130</v>
      </c>
      <c r="Q152" s="260">
        <v>0</v>
      </c>
      <c r="R152" s="260">
        <f t="shared" ref="R152:R153" si="187">P152+Q152</f>
        <v>20734130</v>
      </c>
      <c r="S152" s="238">
        <f t="shared" si="179"/>
        <v>62202390</v>
      </c>
      <c r="T152" s="238">
        <f t="shared" si="180"/>
        <v>0</v>
      </c>
      <c r="U152" s="238">
        <f t="shared" si="181"/>
        <v>62202390</v>
      </c>
      <c r="V152" s="238">
        <f t="shared" si="182"/>
        <v>62202390</v>
      </c>
      <c r="W152" s="238">
        <f t="shared" si="183"/>
        <v>0</v>
      </c>
      <c r="X152" s="238">
        <f t="shared" si="184"/>
        <v>62202390</v>
      </c>
      <c r="Y152" s="119">
        <v>0</v>
      </c>
      <c r="Z152" s="119">
        <v>0</v>
      </c>
      <c r="AA152" s="119"/>
      <c r="AB152" s="119">
        <f t="shared" si="175"/>
        <v>0</v>
      </c>
      <c r="AC152" s="265">
        <f t="shared" si="176"/>
        <v>0</v>
      </c>
    </row>
    <row r="153" spans="2:29" s="47" customFormat="1" ht="31.5" customHeight="1" x14ac:dyDescent="0.2">
      <c r="B153" s="89" t="s">
        <v>655</v>
      </c>
      <c r="C153" s="107" t="s">
        <v>327</v>
      </c>
      <c r="D153" s="125"/>
      <c r="E153" s="106" t="s">
        <v>475</v>
      </c>
      <c r="F153" s="103" t="s">
        <v>383</v>
      </c>
      <c r="G153" s="103" t="s">
        <v>386</v>
      </c>
      <c r="H153" s="103">
        <v>2025</v>
      </c>
      <c r="I153" s="103">
        <v>2026</v>
      </c>
      <c r="J153" s="119">
        <f>3473630+17260500+1160640</f>
        <v>21894770</v>
      </c>
      <c r="K153" s="260">
        <v>0</v>
      </c>
      <c r="L153" s="260">
        <f t="shared" si="185"/>
        <v>21894770</v>
      </c>
      <c r="M153" s="119">
        <f>3473630+17260500+1160640</f>
        <v>21894770</v>
      </c>
      <c r="N153" s="260">
        <v>0</v>
      </c>
      <c r="O153" s="260">
        <f t="shared" si="186"/>
        <v>21894770</v>
      </c>
      <c r="P153" s="119">
        <f>3473630+17260500+1160640</f>
        <v>21894770</v>
      </c>
      <c r="Q153" s="260">
        <v>0</v>
      </c>
      <c r="R153" s="260">
        <f t="shared" si="187"/>
        <v>21894770</v>
      </c>
      <c r="S153" s="238">
        <f t="shared" si="179"/>
        <v>65684310</v>
      </c>
      <c r="T153" s="238">
        <f t="shared" si="180"/>
        <v>0</v>
      </c>
      <c r="U153" s="238">
        <f t="shared" si="181"/>
        <v>65684310</v>
      </c>
      <c r="V153" s="238">
        <f t="shared" si="182"/>
        <v>65684310</v>
      </c>
      <c r="W153" s="238">
        <f t="shared" si="183"/>
        <v>0</v>
      </c>
      <c r="X153" s="238">
        <f t="shared" si="184"/>
        <v>65684310</v>
      </c>
      <c r="Y153" s="119">
        <v>0</v>
      </c>
      <c r="Z153" s="119">
        <v>0</v>
      </c>
      <c r="AA153" s="119"/>
      <c r="AB153" s="119">
        <f t="shared" si="175"/>
        <v>0</v>
      </c>
      <c r="AC153" s="265">
        <f t="shared" si="176"/>
        <v>0</v>
      </c>
    </row>
    <row r="154" spans="2:29" s="47" customFormat="1" ht="37.5" customHeight="1" x14ac:dyDescent="0.2">
      <c r="B154" s="89" t="s">
        <v>656</v>
      </c>
      <c r="C154" s="104" t="s">
        <v>328</v>
      </c>
      <c r="D154" s="125"/>
      <c r="E154" s="106" t="s">
        <v>475</v>
      </c>
      <c r="F154" s="103" t="s">
        <v>383</v>
      </c>
      <c r="G154" s="103" t="s">
        <v>389</v>
      </c>
      <c r="H154" s="103">
        <v>2024</v>
      </c>
      <c r="I154" s="103">
        <v>2026</v>
      </c>
      <c r="J154" s="119">
        <v>1760720</v>
      </c>
      <c r="K154" s="260">
        <v>0</v>
      </c>
      <c r="L154" s="260">
        <f t="shared" si="185"/>
        <v>1760720</v>
      </c>
      <c r="M154" s="119">
        <v>1760720</v>
      </c>
      <c r="N154" s="260">
        <v>0</v>
      </c>
      <c r="O154" s="260">
        <f t="shared" ref="O154:O155" si="188">M154+N154</f>
        <v>1760720</v>
      </c>
      <c r="P154" s="119">
        <v>1760720</v>
      </c>
      <c r="Q154" s="260">
        <v>0</v>
      </c>
      <c r="R154" s="260">
        <f t="shared" ref="R154:R155" si="189">P154+Q154</f>
        <v>1760720</v>
      </c>
      <c r="S154" s="238">
        <f t="shared" si="179"/>
        <v>5282160</v>
      </c>
      <c r="T154" s="238">
        <f t="shared" si="180"/>
        <v>0</v>
      </c>
      <c r="U154" s="238">
        <f t="shared" si="181"/>
        <v>5282160</v>
      </c>
      <c r="V154" s="238">
        <f t="shared" si="182"/>
        <v>5282160</v>
      </c>
      <c r="W154" s="238">
        <f t="shared" si="183"/>
        <v>0</v>
      </c>
      <c r="X154" s="238">
        <f t="shared" si="184"/>
        <v>5282160</v>
      </c>
      <c r="Y154" s="119">
        <v>0</v>
      </c>
      <c r="Z154" s="119">
        <v>0</v>
      </c>
      <c r="AA154" s="119"/>
      <c r="AB154" s="119">
        <f t="shared" si="175"/>
        <v>0</v>
      </c>
      <c r="AC154" s="265">
        <f t="shared" si="176"/>
        <v>0</v>
      </c>
    </row>
    <row r="155" spans="2:29" s="47" customFormat="1" ht="65.25" customHeight="1" x14ac:dyDescent="0.2">
      <c r="B155" s="89" t="s">
        <v>657</v>
      </c>
      <c r="C155" s="107" t="s">
        <v>523</v>
      </c>
      <c r="D155" s="125"/>
      <c r="E155" s="235" t="s">
        <v>628</v>
      </c>
      <c r="F155" s="103" t="s">
        <v>385</v>
      </c>
      <c r="G155" s="103" t="s">
        <v>586</v>
      </c>
      <c r="H155" s="103">
        <v>2024</v>
      </c>
      <c r="I155" s="103">
        <v>2026</v>
      </c>
      <c r="J155" s="119">
        <v>345743</v>
      </c>
      <c r="K155" s="260">
        <v>0</v>
      </c>
      <c r="L155" s="260">
        <f t="shared" ref="L155:L156" si="190">J155+K155</f>
        <v>345743</v>
      </c>
      <c r="M155" s="119">
        <v>345743</v>
      </c>
      <c r="N155" s="260">
        <v>0</v>
      </c>
      <c r="O155" s="260">
        <f t="shared" si="188"/>
        <v>345743</v>
      </c>
      <c r="P155" s="119">
        <v>345743</v>
      </c>
      <c r="Q155" s="260">
        <v>0</v>
      </c>
      <c r="R155" s="260">
        <f t="shared" si="189"/>
        <v>345743</v>
      </c>
      <c r="S155" s="238">
        <f t="shared" si="179"/>
        <v>1037229</v>
      </c>
      <c r="T155" s="238">
        <f t="shared" si="180"/>
        <v>0</v>
      </c>
      <c r="U155" s="238">
        <f t="shared" si="181"/>
        <v>1037229</v>
      </c>
      <c r="V155" s="238">
        <f t="shared" si="182"/>
        <v>1037229</v>
      </c>
      <c r="W155" s="238">
        <f t="shared" si="183"/>
        <v>0</v>
      </c>
      <c r="X155" s="238">
        <f t="shared" si="184"/>
        <v>1037229</v>
      </c>
      <c r="Y155" s="119">
        <v>0</v>
      </c>
      <c r="Z155" s="119">
        <v>0</v>
      </c>
      <c r="AA155" s="119"/>
      <c r="AB155" s="119">
        <f t="shared" si="175"/>
        <v>0</v>
      </c>
      <c r="AC155" s="265">
        <f t="shared" si="176"/>
        <v>0</v>
      </c>
    </row>
    <row r="156" spans="2:29" s="47" customFormat="1" ht="50.25" customHeight="1" x14ac:dyDescent="0.2">
      <c r="B156" s="89" t="s">
        <v>658</v>
      </c>
      <c r="C156" s="107" t="s">
        <v>587</v>
      </c>
      <c r="D156" s="125"/>
      <c r="E156" s="306"/>
      <c r="F156" s="103" t="s">
        <v>425</v>
      </c>
      <c r="G156" s="103" t="s">
        <v>577</v>
      </c>
      <c r="H156" s="103">
        <v>2024</v>
      </c>
      <c r="I156" s="103">
        <v>2026</v>
      </c>
      <c r="J156" s="119">
        <v>1485385.576923077</v>
      </c>
      <c r="K156" s="260">
        <v>1497314.423076923</v>
      </c>
      <c r="L156" s="260">
        <f t="shared" si="190"/>
        <v>2982700</v>
      </c>
      <c r="M156" s="119">
        <v>1485385.576923077</v>
      </c>
      <c r="N156" s="260">
        <v>1497314.423076923</v>
      </c>
      <c r="O156" s="260">
        <v>2982700</v>
      </c>
      <c r="P156" s="119">
        <v>1485385.576923077</v>
      </c>
      <c r="Q156" s="260">
        <v>1497314.423076923</v>
      </c>
      <c r="R156" s="260">
        <v>2982700</v>
      </c>
      <c r="S156" s="238">
        <f t="shared" si="179"/>
        <v>4456156.730769231</v>
      </c>
      <c r="T156" s="238">
        <f t="shared" si="180"/>
        <v>4491943.269230769</v>
      </c>
      <c r="U156" s="238">
        <f t="shared" si="181"/>
        <v>8948100</v>
      </c>
      <c r="V156" s="238">
        <f t="shared" si="182"/>
        <v>4456156.730769231</v>
      </c>
      <c r="W156" s="238">
        <f t="shared" si="183"/>
        <v>4491943.269230769</v>
      </c>
      <c r="X156" s="238">
        <f t="shared" si="184"/>
        <v>8948100</v>
      </c>
      <c r="Y156" s="119">
        <v>0</v>
      </c>
      <c r="Z156" s="119">
        <v>0</v>
      </c>
      <c r="AA156" s="119"/>
      <c r="AB156" s="119">
        <f t="shared" si="175"/>
        <v>0</v>
      </c>
      <c r="AC156" s="265">
        <f t="shared" si="176"/>
        <v>0</v>
      </c>
    </row>
    <row r="157" spans="2:29" s="47" customFormat="1" ht="79.5" customHeight="1" x14ac:dyDescent="0.2">
      <c r="B157" s="89" t="s">
        <v>659</v>
      </c>
      <c r="C157" s="107" t="s">
        <v>524</v>
      </c>
      <c r="D157" s="267"/>
      <c r="E157" s="106" t="s">
        <v>475</v>
      </c>
      <c r="F157" s="103" t="s">
        <v>383</v>
      </c>
      <c r="G157" s="103" t="s">
        <v>588</v>
      </c>
      <c r="H157" s="103">
        <v>2024</v>
      </c>
      <c r="I157" s="103">
        <v>2026</v>
      </c>
      <c r="J157" s="119">
        <f>3473630+18292500</f>
        <v>21766130</v>
      </c>
      <c r="K157" s="260">
        <v>0</v>
      </c>
      <c r="L157" s="260">
        <f>J157+K157</f>
        <v>21766130</v>
      </c>
      <c r="M157" s="119">
        <f>3473630+18292500</f>
        <v>21766130</v>
      </c>
      <c r="N157" s="260">
        <v>0</v>
      </c>
      <c r="O157" s="260">
        <f>M157+N157</f>
        <v>21766130</v>
      </c>
      <c r="P157" s="119">
        <f>3473630+18292500</f>
        <v>21766130</v>
      </c>
      <c r="Q157" s="260">
        <v>0</v>
      </c>
      <c r="R157" s="260">
        <f>P157+Q157</f>
        <v>21766130</v>
      </c>
      <c r="S157" s="238">
        <f t="shared" si="179"/>
        <v>65298390</v>
      </c>
      <c r="T157" s="238">
        <f t="shared" si="180"/>
        <v>0</v>
      </c>
      <c r="U157" s="238">
        <f t="shared" si="181"/>
        <v>65298390</v>
      </c>
      <c r="V157" s="238">
        <f t="shared" si="182"/>
        <v>65298390</v>
      </c>
      <c r="W157" s="238">
        <f t="shared" si="183"/>
        <v>0</v>
      </c>
      <c r="X157" s="238">
        <f t="shared" si="184"/>
        <v>65298390</v>
      </c>
      <c r="Y157" s="119">
        <v>0</v>
      </c>
      <c r="Z157" s="119">
        <v>0</v>
      </c>
      <c r="AA157" s="119"/>
      <c r="AB157" s="119">
        <f t="shared" si="175"/>
        <v>0</v>
      </c>
      <c r="AC157" s="265">
        <f t="shared" si="176"/>
        <v>0</v>
      </c>
    </row>
    <row r="158" spans="2:29" s="47" customFormat="1" ht="52.5" customHeight="1" x14ac:dyDescent="0.2">
      <c r="B158" s="89" t="s">
        <v>660</v>
      </c>
      <c r="C158" s="107" t="s">
        <v>525</v>
      </c>
      <c r="D158" s="304"/>
      <c r="E158" s="234" t="s">
        <v>434</v>
      </c>
      <c r="F158" s="103" t="s">
        <v>634</v>
      </c>
      <c r="G158" s="103" t="s">
        <v>413</v>
      </c>
      <c r="H158" s="103">
        <v>2024</v>
      </c>
      <c r="I158" s="103">
        <v>2026</v>
      </c>
      <c r="J158" s="260">
        <v>22323080</v>
      </c>
      <c r="K158" s="260">
        <v>0</v>
      </c>
      <c r="L158" s="119">
        <f>J158+K158</f>
        <v>22323080</v>
      </c>
      <c r="M158" s="260">
        <v>26787700</v>
      </c>
      <c r="N158" s="260">
        <v>0</v>
      </c>
      <c r="O158" s="119">
        <f>M158+N158</f>
        <v>26787700</v>
      </c>
      <c r="P158" s="260">
        <v>32145200</v>
      </c>
      <c r="Q158" s="260">
        <v>0</v>
      </c>
      <c r="R158" s="119">
        <f>P158+Q158</f>
        <v>32145200</v>
      </c>
      <c r="S158" s="238">
        <f t="shared" si="179"/>
        <v>81255980</v>
      </c>
      <c r="T158" s="238">
        <f t="shared" si="180"/>
        <v>0</v>
      </c>
      <c r="U158" s="238">
        <f t="shared" si="181"/>
        <v>81255980</v>
      </c>
      <c r="V158" s="238">
        <f t="shared" si="182"/>
        <v>81255980</v>
      </c>
      <c r="W158" s="238">
        <f t="shared" si="183"/>
        <v>0</v>
      </c>
      <c r="X158" s="238">
        <f t="shared" si="184"/>
        <v>81255980</v>
      </c>
      <c r="Y158" s="119">
        <v>0</v>
      </c>
      <c r="Z158" s="119">
        <v>0</v>
      </c>
      <c r="AA158" s="119"/>
      <c r="AB158" s="119">
        <f t="shared" si="175"/>
        <v>0</v>
      </c>
      <c r="AC158" s="265">
        <f t="shared" si="176"/>
        <v>0</v>
      </c>
    </row>
    <row r="159" spans="2:29" ht="25.5" customHeight="1" x14ac:dyDescent="0.2">
      <c r="B159" s="250"/>
      <c r="C159" s="267" t="s">
        <v>12</v>
      </c>
      <c r="D159" s="125"/>
      <c r="E159" s="125"/>
      <c r="F159" s="125"/>
      <c r="G159" s="125"/>
      <c r="H159" s="125"/>
      <c r="I159" s="125"/>
      <c r="J159" s="308">
        <f t="shared" ref="J159:AC159" si="191">SUM(J136:J158)</f>
        <v>272045106</v>
      </c>
      <c r="K159" s="308">
        <f t="shared" si="191"/>
        <v>7786035</v>
      </c>
      <c r="L159" s="308">
        <f t="shared" si="191"/>
        <v>279831141</v>
      </c>
      <c r="M159" s="308">
        <f t="shared" si="191"/>
        <v>281786596</v>
      </c>
      <c r="N159" s="308">
        <f t="shared" si="191"/>
        <v>7786035</v>
      </c>
      <c r="O159" s="308">
        <f t="shared" si="191"/>
        <v>289572631</v>
      </c>
      <c r="P159" s="308">
        <f t="shared" si="191"/>
        <v>293354458.5</v>
      </c>
      <c r="Q159" s="308">
        <f t="shared" si="191"/>
        <v>7786035</v>
      </c>
      <c r="R159" s="308">
        <f t="shared" si="191"/>
        <v>301140493.5</v>
      </c>
      <c r="S159" s="308">
        <f t="shared" si="191"/>
        <v>847186160.50000012</v>
      </c>
      <c r="T159" s="308">
        <f t="shared" si="191"/>
        <v>23358104.999999996</v>
      </c>
      <c r="U159" s="308">
        <f t="shared" si="191"/>
        <v>870544265.5</v>
      </c>
      <c r="V159" s="308">
        <f t="shared" si="191"/>
        <v>847186160.50000012</v>
      </c>
      <c r="W159" s="308">
        <f t="shared" si="191"/>
        <v>23358104.999999996</v>
      </c>
      <c r="X159" s="308">
        <f>SUM(X136:X158)</f>
        <v>870544265.5</v>
      </c>
      <c r="Y159" s="308">
        <f t="shared" si="191"/>
        <v>0</v>
      </c>
      <c r="Z159" s="308">
        <f t="shared" si="191"/>
        <v>0</v>
      </c>
      <c r="AA159" s="308">
        <f t="shared" si="191"/>
        <v>0</v>
      </c>
      <c r="AB159" s="308">
        <f t="shared" si="191"/>
        <v>0</v>
      </c>
      <c r="AC159" s="308">
        <f t="shared" si="191"/>
        <v>0</v>
      </c>
    </row>
    <row r="160" spans="2:29" s="47" customFormat="1" ht="33" customHeight="1" x14ac:dyDescent="0.2">
      <c r="B160" s="309"/>
      <c r="C160" s="310" t="s">
        <v>53</v>
      </c>
      <c r="D160" s="310"/>
      <c r="E160" s="101"/>
      <c r="F160" s="129"/>
      <c r="G160" s="129"/>
      <c r="H160" s="129"/>
      <c r="I160" s="129"/>
      <c r="J160" s="129"/>
      <c r="K160" s="311"/>
      <c r="L160" s="311"/>
      <c r="M160" s="311"/>
      <c r="N160" s="311"/>
      <c r="O160" s="311"/>
      <c r="P160" s="311"/>
      <c r="Q160" s="311"/>
      <c r="R160" s="311"/>
      <c r="S160" s="312"/>
      <c r="T160" s="119"/>
      <c r="U160" s="119"/>
      <c r="V160" s="119"/>
      <c r="W160" s="119"/>
      <c r="X160" s="119"/>
      <c r="Y160" s="311"/>
      <c r="Z160" s="311"/>
      <c r="AA160" s="311"/>
      <c r="AB160" s="311"/>
      <c r="AC160" s="265">
        <f t="shared" si="176"/>
        <v>0</v>
      </c>
    </row>
    <row r="161" spans="2:29" s="47" customFormat="1" ht="26.25" customHeight="1" x14ac:dyDescent="0.2">
      <c r="B161" s="89"/>
      <c r="C161" s="131" t="s">
        <v>329</v>
      </c>
      <c r="D161" s="125"/>
      <c r="E161" s="125"/>
      <c r="F161" s="129"/>
      <c r="G161" s="129"/>
      <c r="H161" s="129"/>
      <c r="I161" s="129"/>
      <c r="J161" s="129"/>
      <c r="K161" s="311"/>
      <c r="L161" s="311"/>
      <c r="M161" s="311"/>
      <c r="N161" s="311"/>
      <c r="O161" s="311"/>
      <c r="P161" s="311"/>
      <c r="Q161" s="311"/>
      <c r="R161" s="311"/>
      <c r="S161" s="119"/>
      <c r="T161" s="119"/>
      <c r="U161" s="119"/>
      <c r="V161" s="119"/>
      <c r="W161" s="119"/>
      <c r="X161" s="119"/>
      <c r="Y161" s="313"/>
      <c r="Z161" s="313"/>
      <c r="AA161" s="313"/>
      <c r="AB161" s="313"/>
      <c r="AC161" s="265">
        <f t="shared" si="176"/>
        <v>0</v>
      </c>
    </row>
    <row r="162" spans="2:29" s="47" customFormat="1" ht="42.75" customHeight="1" x14ac:dyDescent="0.2">
      <c r="B162" s="89" t="s">
        <v>330</v>
      </c>
      <c r="C162" s="107" t="s">
        <v>331</v>
      </c>
      <c r="D162" s="125"/>
      <c r="E162" s="263" t="s">
        <v>632</v>
      </c>
      <c r="F162" s="106" t="s">
        <v>391</v>
      </c>
      <c r="G162" s="106" t="s">
        <v>389</v>
      </c>
      <c r="H162" s="123">
        <v>2024</v>
      </c>
      <c r="I162" s="123">
        <v>2024</v>
      </c>
      <c r="J162" s="260">
        <v>200000</v>
      </c>
      <c r="K162" s="260">
        <v>0</v>
      </c>
      <c r="L162" s="119">
        <f>J162+K162</f>
        <v>200000</v>
      </c>
      <c r="M162" s="237">
        <v>0</v>
      </c>
      <c r="N162" s="237">
        <v>0</v>
      </c>
      <c r="O162" s="96">
        <f>M162+N162</f>
        <v>0</v>
      </c>
      <c r="P162" s="237">
        <v>0</v>
      </c>
      <c r="Q162" s="237">
        <v>0</v>
      </c>
      <c r="R162" s="96">
        <f t="shared" ref="R162:R164" si="192">P162+Q162</f>
        <v>0</v>
      </c>
      <c r="S162" s="238">
        <f t="shared" ref="S162" si="193">J162+M162+P162</f>
        <v>200000</v>
      </c>
      <c r="T162" s="238">
        <f t="shared" ref="T162" si="194">K162+N162+Q162</f>
        <v>0</v>
      </c>
      <c r="U162" s="238">
        <f t="shared" ref="U162" si="195">S162+T162</f>
        <v>200000</v>
      </c>
      <c r="V162" s="238">
        <f t="shared" ref="V162" si="196">S162</f>
        <v>200000</v>
      </c>
      <c r="W162" s="238">
        <f t="shared" ref="W162" si="197">T162</f>
        <v>0</v>
      </c>
      <c r="X162" s="238">
        <f t="shared" ref="X162" si="198">V162+W162</f>
        <v>200000</v>
      </c>
      <c r="Y162" s="119">
        <v>0</v>
      </c>
      <c r="Z162" s="119">
        <v>0</v>
      </c>
      <c r="AA162" s="119"/>
      <c r="AB162" s="119">
        <f t="shared" ref="AB162" si="199">Y162+Z162</f>
        <v>0</v>
      </c>
      <c r="AC162" s="265">
        <f t="shared" si="176"/>
        <v>0</v>
      </c>
    </row>
    <row r="163" spans="2:29" s="47" customFormat="1" ht="75" customHeight="1" x14ac:dyDescent="0.2">
      <c r="B163" s="89" t="s">
        <v>55</v>
      </c>
      <c r="C163" s="107" t="s">
        <v>332</v>
      </c>
      <c r="D163" s="125"/>
      <c r="E163" s="240" t="s">
        <v>627</v>
      </c>
      <c r="F163" s="103" t="s">
        <v>517</v>
      </c>
      <c r="G163" s="106" t="s">
        <v>589</v>
      </c>
      <c r="H163" s="106">
        <v>2024</v>
      </c>
      <c r="I163" s="106">
        <v>2025</v>
      </c>
      <c r="J163" s="260">
        <f>41460+705273</f>
        <v>746733</v>
      </c>
      <c r="K163" s="260">
        <v>0</v>
      </c>
      <c r="L163" s="119">
        <f t="shared" ref="L163:L168" si="200">J163+K163</f>
        <v>746733</v>
      </c>
      <c r="M163" s="260">
        <f>41460+2029091</f>
        <v>2070551</v>
      </c>
      <c r="N163" s="260">
        <v>0</v>
      </c>
      <c r="O163" s="119">
        <f t="shared" ref="O163:O168" si="201">M163+N163</f>
        <v>2070551</v>
      </c>
      <c r="P163" s="237">
        <v>0</v>
      </c>
      <c r="Q163" s="237">
        <v>0</v>
      </c>
      <c r="R163" s="96">
        <f t="shared" si="192"/>
        <v>0</v>
      </c>
      <c r="S163" s="238">
        <f t="shared" ref="S163:S171" si="202">J163+M163+P163</f>
        <v>2817284</v>
      </c>
      <c r="T163" s="238">
        <f t="shared" ref="T163:T171" si="203">K163+N163+Q163</f>
        <v>0</v>
      </c>
      <c r="U163" s="238">
        <f t="shared" ref="U163:U171" si="204">S163+T163</f>
        <v>2817284</v>
      </c>
      <c r="V163" s="238">
        <f t="shared" ref="V163:V171" si="205">S163</f>
        <v>2817284</v>
      </c>
      <c r="W163" s="238">
        <f t="shared" ref="W163:W171" si="206">T163</f>
        <v>0</v>
      </c>
      <c r="X163" s="238">
        <f t="shared" ref="X163:X171" si="207">V163+W163</f>
        <v>2817284</v>
      </c>
      <c r="Y163" s="119">
        <v>0</v>
      </c>
      <c r="Z163" s="119">
        <v>0</v>
      </c>
      <c r="AA163" s="119"/>
      <c r="AB163" s="119">
        <f t="shared" ref="AB163:AB171" si="208">Y163+Z163</f>
        <v>0</v>
      </c>
      <c r="AC163" s="265">
        <f t="shared" si="176"/>
        <v>0</v>
      </c>
    </row>
    <row r="164" spans="2:29" s="47" customFormat="1" ht="37.5" customHeight="1" x14ac:dyDescent="0.2">
      <c r="B164" s="89" t="s">
        <v>333</v>
      </c>
      <c r="C164" s="107" t="s">
        <v>590</v>
      </c>
      <c r="D164" s="125"/>
      <c r="E164" s="263" t="s">
        <v>632</v>
      </c>
      <c r="F164" s="106" t="s">
        <v>391</v>
      </c>
      <c r="G164" s="106" t="s">
        <v>622</v>
      </c>
      <c r="H164" s="106">
        <v>2024</v>
      </c>
      <c r="I164" s="106">
        <v>2025</v>
      </c>
      <c r="J164" s="260">
        <v>250000</v>
      </c>
      <c r="K164" s="260">
        <v>0</v>
      </c>
      <c r="L164" s="119">
        <f t="shared" si="200"/>
        <v>250000</v>
      </c>
      <c r="M164" s="260">
        <v>150000</v>
      </c>
      <c r="N164" s="260">
        <v>0</v>
      </c>
      <c r="O164" s="119">
        <f t="shared" si="201"/>
        <v>150000</v>
      </c>
      <c r="P164" s="237">
        <v>0</v>
      </c>
      <c r="Q164" s="237">
        <v>0</v>
      </c>
      <c r="R164" s="96">
        <f t="shared" si="192"/>
        <v>0</v>
      </c>
      <c r="S164" s="238">
        <f t="shared" si="202"/>
        <v>400000</v>
      </c>
      <c r="T164" s="238">
        <f t="shared" si="203"/>
        <v>0</v>
      </c>
      <c r="U164" s="238">
        <f t="shared" si="204"/>
        <v>400000</v>
      </c>
      <c r="V164" s="238">
        <f t="shared" si="205"/>
        <v>400000</v>
      </c>
      <c r="W164" s="238">
        <f t="shared" si="206"/>
        <v>0</v>
      </c>
      <c r="X164" s="238">
        <f t="shared" si="207"/>
        <v>400000</v>
      </c>
      <c r="Y164" s="119">
        <v>0</v>
      </c>
      <c r="Z164" s="119">
        <v>0</v>
      </c>
      <c r="AA164" s="119"/>
      <c r="AB164" s="119">
        <f t="shared" si="208"/>
        <v>0</v>
      </c>
      <c r="AC164" s="265">
        <f t="shared" si="176"/>
        <v>0</v>
      </c>
    </row>
    <row r="165" spans="2:29" s="47" customFormat="1" ht="51" customHeight="1" x14ac:dyDescent="0.2">
      <c r="B165" s="89" t="s">
        <v>334</v>
      </c>
      <c r="C165" s="107" t="s">
        <v>526</v>
      </c>
      <c r="D165" s="125"/>
      <c r="E165" s="263" t="s">
        <v>632</v>
      </c>
      <c r="F165" s="106" t="s">
        <v>391</v>
      </c>
      <c r="G165" s="106" t="s">
        <v>603</v>
      </c>
      <c r="H165" s="106">
        <v>2024</v>
      </c>
      <c r="I165" s="106">
        <v>2024</v>
      </c>
      <c r="J165" s="260">
        <v>200000</v>
      </c>
      <c r="K165" s="260">
        <v>0</v>
      </c>
      <c r="L165" s="119">
        <f t="shared" si="200"/>
        <v>200000</v>
      </c>
      <c r="M165" s="237">
        <v>0</v>
      </c>
      <c r="N165" s="237">
        <v>0</v>
      </c>
      <c r="O165" s="96">
        <f t="shared" si="201"/>
        <v>0</v>
      </c>
      <c r="P165" s="237">
        <v>0</v>
      </c>
      <c r="Q165" s="237">
        <v>0</v>
      </c>
      <c r="R165" s="96">
        <f t="shared" ref="R165:R168" si="209">P165+Q165</f>
        <v>0</v>
      </c>
      <c r="S165" s="238">
        <f t="shared" si="202"/>
        <v>200000</v>
      </c>
      <c r="T165" s="238">
        <f t="shared" si="203"/>
        <v>0</v>
      </c>
      <c r="U165" s="238">
        <f t="shared" si="204"/>
        <v>200000</v>
      </c>
      <c r="V165" s="238">
        <f t="shared" si="205"/>
        <v>200000</v>
      </c>
      <c r="W165" s="238">
        <f t="shared" si="206"/>
        <v>0</v>
      </c>
      <c r="X165" s="238">
        <f t="shared" si="207"/>
        <v>200000</v>
      </c>
      <c r="Y165" s="119">
        <v>0</v>
      </c>
      <c r="Z165" s="119">
        <v>0</v>
      </c>
      <c r="AA165" s="119"/>
      <c r="AB165" s="119">
        <f t="shared" si="208"/>
        <v>0</v>
      </c>
      <c r="AC165" s="265">
        <f t="shared" si="176"/>
        <v>0</v>
      </c>
    </row>
    <row r="166" spans="2:29" s="47" customFormat="1" ht="45" customHeight="1" x14ac:dyDescent="0.2">
      <c r="B166" s="89" t="s">
        <v>335</v>
      </c>
      <c r="C166" s="105" t="s">
        <v>336</v>
      </c>
      <c r="D166" s="125"/>
      <c r="E166" s="263" t="s">
        <v>632</v>
      </c>
      <c r="F166" s="106" t="s">
        <v>391</v>
      </c>
      <c r="G166" s="103" t="s">
        <v>591</v>
      </c>
      <c r="H166" s="103">
        <v>2024</v>
      </c>
      <c r="I166" s="103">
        <v>2026</v>
      </c>
      <c r="J166" s="260">
        <v>300000</v>
      </c>
      <c r="K166" s="260">
        <v>0</v>
      </c>
      <c r="L166" s="119">
        <f t="shared" si="200"/>
        <v>300000</v>
      </c>
      <c r="M166" s="260">
        <v>300000</v>
      </c>
      <c r="N166" s="260">
        <v>0</v>
      </c>
      <c r="O166" s="119">
        <f t="shared" si="201"/>
        <v>300000</v>
      </c>
      <c r="P166" s="260">
        <v>300000</v>
      </c>
      <c r="Q166" s="260">
        <v>0</v>
      </c>
      <c r="R166" s="119">
        <f t="shared" si="209"/>
        <v>300000</v>
      </c>
      <c r="S166" s="238">
        <f t="shared" si="202"/>
        <v>900000</v>
      </c>
      <c r="T166" s="238">
        <f t="shared" si="203"/>
        <v>0</v>
      </c>
      <c r="U166" s="238">
        <f t="shared" si="204"/>
        <v>900000</v>
      </c>
      <c r="V166" s="238">
        <f t="shared" si="205"/>
        <v>900000</v>
      </c>
      <c r="W166" s="238">
        <f t="shared" si="206"/>
        <v>0</v>
      </c>
      <c r="X166" s="238">
        <f t="shared" si="207"/>
        <v>900000</v>
      </c>
      <c r="Y166" s="119">
        <v>0</v>
      </c>
      <c r="Z166" s="119">
        <v>0</v>
      </c>
      <c r="AA166" s="119"/>
      <c r="AB166" s="119">
        <f t="shared" si="208"/>
        <v>0</v>
      </c>
      <c r="AC166" s="265">
        <f t="shared" si="176"/>
        <v>0</v>
      </c>
    </row>
    <row r="167" spans="2:29" s="47" customFormat="1" ht="37.5" customHeight="1" x14ac:dyDescent="0.2">
      <c r="B167" s="89" t="s">
        <v>337</v>
      </c>
      <c r="C167" s="105" t="s">
        <v>605</v>
      </c>
      <c r="D167" s="125"/>
      <c r="E167" s="240" t="s">
        <v>629</v>
      </c>
      <c r="F167" s="103" t="s">
        <v>518</v>
      </c>
      <c r="G167" s="103" t="s">
        <v>389</v>
      </c>
      <c r="H167" s="103">
        <v>2024</v>
      </c>
      <c r="I167" s="103">
        <v>2026</v>
      </c>
      <c r="J167" s="260">
        <f>121170+6480+705273</f>
        <v>832923</v>
      </c>
      <c r="K167" s="260">
        <v>0</v>
      </c>
      <c r="L167" s="119">
        <f t="shared" si="200"/>
        <v>832923</v>
      </c>
      <c r="M167" s="260">
        <f>121170+6480+2029091</f>
        <v>2156741</v>
      </c>
      <c r="N167" s="260">
        <v>0</v>
      </c>
      <c r="O167" s="119">
        <f t="shared" si="201"/>
        <v>2156741</v>
      </c>
      <c r="P167" s="260">
        <f>121170+6480</f>
        <v>127650</v>
      </c>
      <c r="Q167" s="260">
        <v>0</v>
      </c>
      <c r="R167" s="119">
        <f t="shared" si="209"/>
        <v>127650</v>
      </c>
      <c r="S167" s="238">
        <f t="shared" si="202"/>
        <v>3117314</v>
      </c>
      <c r="T167" s="238">
        <f t="shared" si="203"/>
        <v>0</v>
      </c>
      <c r="U167" s="238">
        <f t="shared" si="204"/>
        <v>3117314</v>
      </c>
      <c r="V167" s="238">
        <f t="shared" si="205"/>
        <v>3117314</v>
      </c>
      <c r="W167" s="238">
        <f t="shared" si="206"/>
        <v>0</v>
      </c>
      <c r="X167" s="238">
        <f t="shared" si="207"/>
        <v>3117314</v>
      </c>
      <c r="Y167" s="119">
        <v>0</v>
      </c>
      <c r="Z167" s="119">
        <v>0</v>
      </c>
      <c r="AA167" s="119"/>
      <c r="AB167" s="119">
        <f t="shared" si="208"/>
        <v>0</v>
      </c>
      <c r="AC167" s="265">
        <f t="shared" si="176"/>
        <v>0</v>
      </c>
    </row>
    <row r="168" spans="2:29" s="47" customFormat="1" ht="37.5" customHeight="1" x14ac:dyDescent="0.2">
      <c r="B168" s="89" t="s">
        <v>338</v>
      </c>
      <c r="C168" s="105" t="s">
        <v>339</v>
      </c>
      <c r="D168" s="125"/>
      <c r="E168" s="240" t="s">
        <v>629</v>
      </c>
      <c r="F168" s="103" t="s">
        <v>518</v>
      </c>
      <c r="G168" s="103" t="s">
        <v>592</v>
      </c>
      <c r="H168" s="103">
        <v>2024</v>
      </c>
      <c r="I168" s="103">
        <v>2026</v>
      </c>
      <c r="J168" s="260">
        <f>10250+705273</f>
        <v>715523</v>
      </c>
      <c r="K168" s="260">
        <v>0</v>
      </c>
      <c r="L168" s="119">
        <f t="shared" si="200"/>
        <v>715523</v>
      </c>
      <c r="M168" s="260">
        <f>10250+2029091</f>
        <v>2039341</v>
      </c>
      <c r="N168" s="260">
        <v>0</v>
      </c>
      <c r="O168" s="119">
        <f t="shared" si="201"/>
        <v>2039341</v>
      </c>
      <c r="P168" s="260">
        <v>10250</v>
      </c>
      <c r="Q168" s="260">
        <v>0</v>
      </c>
      <c r="R168" s="119">
        <f t="shared" si="209"/>
        <v>10250</v>
      </c>
      <c r="S168" s="238">
        <f t="shared" si="202"/>
        <v>2765114</v>
      </c>
      <c r="T168" s="238">
        <f t="shared" si="203"/>
        <v>0</v>
      </c>
      <c r="U168" s="238">
        <f t="shared" si="204"/>
        <v>2765114</v>
      </c>
      <c r="V168" s="238">
        <f t="shared" si="205"/>
        <v>2765114</v>
      </c>
      <c r="W168" s="238">
        <f t="shared" si="206"/>
        <v>0</v>
      </c>
      <c r="X168" s="238">
        <f t="shared" si="207"/>
        <v>2765114</v>
      </c>
      <c r="Y168" s="119">
        <v>0</v>
      </c>
      <c r="Z168" s="119">
        <v>0</v>
      </c>
      <c r="AA168" s="119"/>
      <c r="AB168" s="119">
        <f t="shared" si="208"/>
        <v>0</v>
      </c>
      <c r="AC168" s="265">
        <f t="shared" si="176"/>
        <v>0</v>
      </c>
    </row>
    <row r="169" spans="2:29" s="47" customFormat="1" ht="54.75" customHeight="1" x14ac:dyDescent="0.2">
      <c r="B169" s="89" t="s">
        <v>661</v>
      </c>
      <c r="C169" s="105" t="s">
        <v>340</v>
      </c>
      <c r="D169" s="125"/>
      <c r="E169" s="314" t="s">
        <v>433</v>
      </c>
      <c r="F169" s="103" t="s">
        <v>634</v>
      </c>
      <c r="G169" s="102" t="s">
        <v>593</v>
      </c>
      <c r="H169" s="102">
        <v>2024</v>
      </c>
      <c r="I169" s="102">
        <v>2026</v>
      </c>
      <c r="J169" s="260">
        <v>22323080</v>
      </c>
      <c r="K169" s="260">
        <v>0</v>
      </c>
      <c r="L169" s="119">
        <f>J169+K169</f>
        <v>22323080</v>
      </c>
      <c r="M169" s="260">
        <v>26787700</v>
      </c>
      <c r="N169" s="260">
        <v>0</v>
      </c>
      <c r="O169" s="119">
        <f>M169+N169</f>
        <v>26787700</v>
      </c>
      <c r="P169" s="260">
        <v>32145200</v>
      </c>
      <c r="Q169" s="260">
        <v>0</v>
      </c>
      <c r="R169" s="119">
        <f>P169+Q169</f>
        <v>32145200</v>
      </c>
      <c r="S169" s="238">
        <f t="shared" si="202"/>
        <v>81255980</v>
      </c>
      <c r="T169" s="238">
        <f t="shared" si="203"/>
        <v>0</v>
      </c>
      <c r="U169" s="238">
        <f t="shared" si="204"/>
        <v>81255980</v>
      </c>
      <c r="V169" s="238">
        <f t="shared" si="205"/>
        <v>81255980</v>
      </c>
      <c r="W169" s="238">
        <f t="shared" si="206"/>
        <v>0</v>
      </c>
      <c r="X169" s="238">
        <f t="shared" si="207"/>
        <v>81255980</v>
      </c>
      <c r="Y169" s="119">
        <v>0</v>
      </c>
      <c r="Z169" s="119">
        <v>0</v>
      </c>
      <c r="AA169" s="119"/>
      <c r="AB169" s="119">
        <f t="shared" si="208"/>
        <v>0</v>
      </c>
      <c r="AC169" s="265">
        <f t="shared" si="176"/>
        <v>0</v>
      </c>
    </row>
    <row r="170" spans="2:29" s="47" customFormat="1" ht="46.5" customHeight="1" x14ac:dyDescent="0.2">
      <c r="B170" s="89" t="s">
        <v>662</v>
      </c>
      <c r="C170" s="105" t="s">
        <v>341</v>
      </c>
      <c r="D170" s="125"/>
      <c r="E170" s="314" t="s">
        <v>433</v>
      </c>
      <c r="F170" s="103" t="s">
        <v>634</v>
      </c>
      <c r="G170" s="102" t="s">
        <v>593</v>
      </c>
      <c r="H170" s="102">
        <v>2024</v>
      </c>
      <c r="I170" s="102">
        <v>2026</v>
      </c>
      <c r="J170" s="260">
        <v>22323080</v>
      </c>
      <c r="K170" s="260">
        <v>0</v>
      </c>
      <c r="L170" s="119">
        <f>J170+K170</f>
        <v>22323080</v>
      </c>
      <c r="M170" s="260">
        <v>26787700</v>
      </c>
      <c r="N170" s="260">
        <v>0</v>
      </c>
      <c r="O170" s="119">
        <f>M170+N170</f>
        <v>26787700</v>
      </c>
      <c r="P170" s="260">
        <v>32145200</v>
      </c>
      <c r="Q170" s="260">
        <v>0</v>
      </c>
      <c r="R170" s="119">
        <f>P170+Q170</f>
        <v>32145200</v>
      </c>
      <c r="S170" s="238">
        <f t="shared" si="202"/>
        <v>81255980</v>
      </c>
      <c r="T170" s="238">
        <f t="shared" si="203"/>
        <v>0</v>
      </c>
      <c r="U170" s="238">
        <f t="shared" si="204"/>
        <v>81255980</v>
      </c>
      <c r="V170" s="238">
        <f t="shared" si="205"/>
        <v>81255980</v>
      </c>
      <c r="W170" s="238">
        <f t="shared" si="206"/>
        <v>0</v>
      </c>
      <c r="X170" s="238">
        <f t="shared" si="207"/>
        <v>81255980</v>
      </c>
      <c r="Y170" s="119">
        <v>0</v>
      </c>
      <c r="Z170" s="119">
        <v>0</v>
      </c>
      <c r="AA170" s="119"/>
      <c r="AB170" s="119">
        <f t="shared" si="208"/>
        <v>0</v>
      </c>
      <c r="AC170" s="265">
        <f t="shared" si="176"/>
        <v>0</v>
      </c>
    </row>
    <row r="171" spans="2:29" s="47" customFormat="1" ht="51" x14ac:dyDescent="0.2">
      <c r="B171" s="89" t="s">
        <v>663</v>
      </c>
      <c r="C171" s="107" t="s">
        <v>342</v>
      </c>
      <c r="D171" s="125"/>
      <c r="E171" s="263" t="s">
        <v>632</v>
      </c>
      <c r="F171" s="103" t="s">
        <v>391</v>
      </c>
      <c r="G171" s="106" t="s">
        <v>603</v>
      </c>
      <c r="H171" s="102">
        <v>2024</v>
      </c>
      <c r="I171" s="102">
        <v>2026</v>
      </c>
      <c r="J171" s="260">
        <v>1670000</v>
      </c>
      <c r="K171" s="260">
        <v>0</v>
      </c>
      <c r="L171" s="119">
        <f t="shared" ref="L171:L187" si="210">J171+K171</f>
        <v>1670000</v>
      </c>
      <c r="M171" s="260">
        <v>1670000</v>
      </c>
      <c r="N171" s="260">
        <v>0</v>
      </c>
      <c r="O171" s="119">
        <f t="shared" ref="O171:O187" si="211">M171+N171</f>
        <v>1670000</v>
      </c>
      <c r="P171" s="260">
        <v>1670000</v>
      </c>
      <c r="Q171" s="260">
        <v>0</v>
      </c>
      <c r="R171" s="119">
        <f t="shared" ref="R171:R187" si="212">P171+Q171</f>
        <v>1670000</v>
      </c>
      <c r="S171" s="238">
        <f t="shared" si="202"/>
        <v>5010000</v>
      </c>
      <c r="T171" s="238">
        <f t="shared" si="203"/>
        <v>0</v>
      </c>
      <c r="U171" s="238">
        <f t="shared" si="204"/>
        <v>5010000</v>
      </c>
      <c r="V171" s="238">
        <f t="shared" si="205"/>
        <v>5010000</v>
      </c>
      <c r="W171" s="238">
        <f t="shared" si="206"/>
        <v>0</v>
      </c>
      <c r="X171" s="238">
        <f t="shared" si="207"/>
        <v>5010000</v>
      </c>
      <c r="Y171" s="119">
        <v>0</v>
      </c>
      <c r="Z171" s="119">
        <v>0</v>
      </c>
      <c r="AA171" s="119"/>
      <c r="AB171" s="119">
        <f t="shared" si="208"/>
        <v>0</v>
      </c>
      <c r="AC171" s="265">
        <f t="shared" si="176"/>
        <v>0</v>
      </c>
    </row>
    <row r="172" spans="2:29" s="47" customFormat="1" ht="32.25" customHeight="1" x14ac:dyDescent="0.2">
      <c r="B172" s="89"/>
      <c r="C172" s="131" t="s">
        <v>343</v>
      </c>
      <c r="D172" s="125"/>
      <c r="E172" s="125"/>
      <c r="F172" s="129"/>
      <c r="G172" s="129"/>
      <c r="H172" s="129"/>
      <c r="I172" s="129"/>
      <c r="J172" s="260"/>
      <c r="K172" s="260"/>
      <c r="L172" s="119"/>
      <c r="M172" s="260"/>
      <c r="N172" s="260"/>
      <c r="O172" s="119"/>
      <c r="P172" s="260"/>
      <c r="Q172" s="260"/>
      <c r="R172" s="119"/>
      <c r="S172" s="119"/>
      <c r="T172" s="119"/>
      <c r="U172" s="119"/>
      <c r="V172" s="119"/>
      <c r="W172" s="119"/>
      <c r="X172" s="119"/>
      <c r="Y172" s="119">
        <v>0</v>
      </c>
      <c r="Z172" s="119">
        <v>0</v>
      </c>
      <c r="AA172" s="119"/>
      <c r="AB172" s="119">
        <f t="shared" ref="AB172:AB187" si="213">Y172+Z172</f>
        <v>0</v>
      </c>
      <c r="AC172" s="265">
        <f t="shared" si="176"/>
        <v>0</v>
      </c>
    </row>
    <row r="173" spans="2:29" s="47" customFormat="1" ht="51" x14ac:dyDescent="0.2">
      <c r="B173" s="86" t="s">
        <v>57</v>
      </c>
      <c r="C173" s="110" t="s">
        <v>344</v>
      </c>
      <c r="D173" s="125"/>
      <c r="E173" s="111" t="s">
        <v>469</v>
      </c>
      <c r="F173" s="103" t="s">
        <v>401</v>
      </c>
      <c r="G173" s="103" t="s">
        <v>397</v>
      </c>
      <c r="H173" s="103">
        <v>2024</v>
      </c>
      <c r="I173" s="103">
        <v>2026</v>
      </c>
      <c r="J173" s="315">
        <f>57*3*95000</f>
        <v>16245000</v>
      </c>
      <c r="K173" s="260">
        <v>0</v>
      </c>
      <c r="L173" s="119">
        <f t="shared" si="210"/>
        <v>16245000</v>
      </c>
      <c r="M173" s="260">
        <f t="shared" ref="M173:M179" si="214">(J173*1.05)</f>
        <v>17057250</v>
      </c>
      <c r="N173" s="260">
        <v>0</v>
      </c>
      <c r="O173" s="119">
        <f t="shared" si="211"/>
        <v>17057250</v>
      </c>
      <c r="P173" s="260">
        <f t="shared" ref="P173:P179" si="215">M173*1.05</f>
        <v>17910112.5</v>
      </c>
      <c r="Q173" s="260">
        <v>0</v>
      </c>
      <c r="R173" s="119">
        <f t="shared" si="212"/>
        <v>17910112.5</v>
      </c>
      <c r="S173" s="238">
        <f t="shared" ref="S173" si="216">J173+M173+P173</f>
        <v>51212362.5</v>
      </c>
      <c r="T173" s="238">
        <f t="shared" ref="T173" si="217">K173+N173+Q173</f>
        <v>0</v>
      </c>
      <c r="U173" s="238">
        <f t="shared" ref="U173" si="218">S173+T173</f>
        <v>51212362.5</v>
      </c>
      <c r="V173" s="238">
        <f t="shared" ref="V173" si="219">S173</f>
        <v>51212362.5</v>
      </c>
      <c r="W173" s="238">
        <f t="shared" ref="W173" si="220">T173</f>
        <v>0</v>
      </c>
      <c r="X173" s="238">
        <f t="shared" ref="X173" si="221">V173+W173</f>
        <v>51212362.5</v>
      </c>
      <c r="Y173" s="119">
        <v>0</v>
      </c>
      <c r="Z173" s="119">
        <v>0</v>
      </c>
      <c r="AA173" s="119"/>
      <c r="AB173" s="119">
        <f t="shared" si="213"/>
        <v>0</v>
      </c>
      <c r="AC173" s="265">
        <f t="shared" si="176"/>
        <v>0</v>
      </c>
    </row>
    <row r="174" spans="2:29" s="47" customFormat="1" ht="51" x14ac:dyDescent="0.2">
      <c r="B174" s="86" t="s">
        <v>58</v>
      </c>
      <c r="C174" s="110" t="s">
        <v>345</v>
      </c>
      <c r="D174" s="125"/>
      <c r="E174" s="111" t="s">
        <v>469</v>
      </c>
      <c r="F174" s="103" t="s">
        <v>401</v>
      </c>
      <c r="G174" s="103" t="s">
        <v>397</v>
      </c>
      <c r="H174" s="103">
        <v>2025</v>
      </c>
      <c r="I174" s="103">
        <v>2026</v>
      </c>
      <c r="J174" s="315">
        <f>57*3*95000</f>
        <v>16245000</v>
      </c>
      <c r="K174" s="260">
        <v>0</v>
      </c>
      <c r="L174" s="119">
        <f t="shared" si="210"/>
        <v>16245000</v>
      </c>
      <c r="M174" s="260">
        <f t="shared" si="214"/>
        <v>17057250</v>
      </c>
      <c r="N174" s="260">
        <v>0</v>
      </c>
      <c r="O174" s="119">
        <f t="shared" si="211"/>
        <v>17057250</v>
      </c>
      <c r="P174" s="260">
        <f t="shared" si="215"/>
        <v>17910112.5</v>
      </c>
      <c r="Q174" s="260">
        <v>0</v>
      </c>
      <c r="R174" s="119">
        <f t="shared" si="212"/>
        <v>17910112.5</v>
      </c>
      <c r="S174" s="238">
        <f t="shared" ref="S174:S186" si="222">J174+M174+P174</f>
        <v>51212362.5</v>
      </c>
      <c r="T174" s="238">
        <f t="shared" ref="T174:T187" si="223">K174+N174+Q174</f>
        <v>0</v>
      </c>
      <c r="U174" s="238">
        <f t="shared" ref="U174:U187" si="224">S174+T174</f>
        <v>51212362.5</v>
      </c>
      <c r="V174" s="238">
        <f t="shared" ref="V174:V187" si="225">S174</f>
        <v>51212362.5</v>
      </c>
      <c r="W174" s="238">
        <f t="shared" ref="W174:W187" si="226">T174</f>
        <v>0</v>
      </c>
      <c r="X174" s="238">
        <f t="shared" ref="X174:X187" si="227">V174+W174</f>
        <v>51212362.5</v>
      </c>
      <c r="Y174" s="119">
        <v>0</v>
      </c>
      <c r="Z174" s="119">
        <v>0</v>
      </c>
      <c r="AA174" s="119"/>
      <c r="AB174" s="119">
        <f t="shared" si="213"/>
        <v>0</v>
      </c>
      <c r="AC174" s="265">
        <f t="shared" si="176"/>
        <v>0</v>
      </c>
    </row>
    <row r="175" spans="2:29" s="47" customFormat="1" ht="51" x14ac:dyDescent="0.2">
      <c r="B175" s="86" t="s">
        <v>664</v>
      </c>
      <c r="C175" s="105" t="s">
        <v>347</v>
      </c>
      <c r="D175" s="125"/>
      <c r="E175" s="111" t="s">
        <v>469</v>
      </c>
      <c r="F175" s="103" t="s">
        <v>401</v>
      </c>
      <c r="G175" s="103" t="s">
        <v>427</v>
      </c>
      <c r="H175" s="103">
        <v>2024</v>
      </c>
      <c r="I175" s="103">
        <v>2026</v>
      </c>
      <c r="J175" s="315">
        <f>57*2*95000</f>
        <v>10830000</v>
      </c>
      <c r="K175" s="260">
        <v>0</v>
      </c>
      <c r="L175" s="119">
        <f t="shared" si="210"/>
        <v>10830000</v>
      </c>
      <c r="M175" s="260">
        <f t="shared" si="214"/>
        <v>11371500</v>
      </c>
      <c r="N175" s="260">
        <v>0</v>
      </c>
      <c r="O175" s="119">
        <f t="shared" si="211"/>
        <v>11371500</v>
      </c>
      <c r="P175" s="260">
        <f t="shared" si="215"/>
        <v>11940075</v>
      </c>
      <c r="Q175" s="260">
        <v>0</v>
      </c>
      <c r="R175" s="119">
        <f t="shared" si="212"/>
        <v>11940075</v>
      </c>
      <c r="S175" s="238">
        <f t="shared" si="222"/>
        <v>34141575</v>
      </c>
      <c r="T175" s="238">
        <f t="shared" si="223"/>
        <v>0</v>
      </c>
      <c r="U175" s="238">
        <f t="shared" si="224"/>
        <v>34141575</v>
      </c>
      <c r="V175" s="238">
        <f t="shared" si="225"/>
        <v>34141575</v>
      </c>
      <c r="W175" s="238">
        <f t="shared" si="226"/>
        <v>0</v>
      </c>
      <c r="X175" s="238">
        <f t="shared" si="227"/>
        <v>34141575</v>
      </c>
      <c r="Y175" s="119">
        <v>0</v>
      </c>
      <c r="Z175" s="119">
        <v>0</v>
      </c>
      <c r="AA175" s="119"/>
      <c r="AB175" s="119">
        <f t="shared" si="213"/>
        <v>0</v>
      </c>
      <c r="AC175" s="265">
        <f t="shared" si="176"/>
        <v>0</v>
      </c>
    </row>
    <row r="176" spans="2:29" s="47" customFormat="1" ht="58.5" customHeight="1" x14ac:dyDescent="0.2">
      <c r="B176" s="86" t="s">
        <v>346</v>
      </c>
      <c r="C176" s="105" t="s">
        <v>349</v>
      </c>
      <c r="D176" s="125"/>
      <c r="E176" s="111" t="s">
        <v>469</v>
      </c>
      <c r="F176" s="103" t="s">
        <v>401</v>
      </c>
      <c r="G176" s="103" t="s">
        <v>427</v>
      </c>
      <c r="H176" s="103">
        <v>2025</v>
      </c>
      <c r="I176" s="103">
        <v>2026</v>
      </c>
      <c r="J176" s="315">
        <f>57*1*95000</f>
        <v>5415000</v>
      </c>
      <c r="K176" s="260">
        <v>0</v>
      </c>
      <c r="L176" s="119">
        <f t="shared" si="210"/>
        <v>5415000</v>
      </c>
      <c r="M176" s="260">
        <f t="shared" si="214"/>
        <v>5685750</v>
      </c>
      <c r="N176" s="260">
        <v>0</v>
      </c>
      <c r="O176" s="119">
        <f t="shared" si="211"/>
        <v>5685750</v>
      </c>
      <c r="P176" s="260">
        <f t="shared" si="215"/>
        <v>5970037.5</v>
      </c>
      <c r="Q176" s="260">
        <v>0</v>
      </c>
      <c r="R176" s="119">
        <f t="shared" si="212"/>
        <v>5970037.5</v>
      </c>
      <c r="S176" s="238">
        <f t="shared" si="222"/>
        <v>17070787.5</v>
      </c>
      <c r="T176" s="238">
        <f t="shared" si="223"/>
        <v>0</v>
      </c>
      <c r="U176" s="238">
        <f t="shared" si="224"/>
        <v>17070787.5</v>
      </c>
      <c r="V176" s="238">
        <f t="shared" si="225"/>
        <v>17070787.5</v>
      </c>
      <c r="W176" s="238">
        <f t="shared" si="226"/>
        <v>0</v>
      </c>
      <c r="X176" s="238">
        <f t="shared" si="227"/>
        <v>17070787.5</v>
      </c>
      <c r="Y176" s="119">
        <v>0</v>
      </c>
      <c r="Z176" s="119">
        <v>0</v>
      </c>
      <c r="AA176" s="119"/>
      <c r="AB176" s="119">
        <f t="shared" si="213"/>
        <v>0</v>
      </c>
      <c r="AC176" s="265">
        <f t="shared" si="176"/>
        <v>0</v>
      </c>
    </row>
    <row r="177" spans="2:29" s="47" customFormat="1" ht="51" x14ac:dyDescent="0.2">
      <c r="B177" s="86" t="s">
        <v>348</v>
      </c>
      <c r="C177" s="105" t="s">
        <v>351</v>
      </c>
      <c r="D177" s="125"/>
      <c r="E177" s="111" t="s">
        <v>469</v>
      </c>
      <c r="F177" s="116" t="s">
        <v>401</v>
      </c>
      <c r="G177" s="103" t="s">
        <v>427</v>
      </c>
      <c r="H177" s="103">
        <v>2025</v>
      </c>
      <c r="I177" s="103">
        <v>2026</v>
      </c>
      <c r="J177" s="315">
        <f>57*1*95000</f>
        <v>5415000</v>
      </c>
      <c r="K177" s="260">
        <v>0</v>
      </c>
      <c r="L177" s="119">
        <f t="shared" si="210"/>
        <v>5415000</v>
      </c>
      <c r="M177" s="260">
        <f t="shared" si="214"/>
        <v>5685750</v>
      </c>
      <c r="N177" s="260">
        <v>0</v>
      </c>
      <c r="O177" s="119">
        <f t="shared" si="211"/>
        <v>5685750</v>
      </c>
      <c r="P177" s="260">
        <f t="shared" si="215"/>
        <v>5970037.5</v>
      </c>
      <c r="Q177" s="260">
        <v>0</v>
      </c>
      <c r="R177" s="119">
        <f t="shared" si="212"/>
        <v>5970037.5</v>
      </c>
      <c r="S177" s="238">
        <f t="shared" si="222"/>
        <v>17070787.5</v>
      </c>
      <c r="T177" s="238">
        <f t="shared" si="223"/>
        <v>0</v>
      </c>
      <c r="U177" s="238">
        <f t="shared" si="224"/>
        <v>17070787.5</v>
      </c>
      <c r="V177" s="238">
        <f t="shared" si="225"/>
        <v>17070787.5</v>
      </c>
      <c r="W177" s="238">
        <f t="shared" si="226"/>
        <v>0</v>
      </c>
      <c r="X177" s="238">
        <f t="shared" si="227"/>
        <v>17070787.5</v>
      </c>
      <c r="Y177" s="119">
        <v>0</v>
      </c>
      <c r="Z177" s="119">
        <v>0</v>
      </c>
      <c r="AA177" s="119"/>
      <c r="AB177" s="119">
        <f t="shared" si="213"/>
        <v>0</v>
      </c>
      <c r="AC177" s="265">
        <f t="shared" si="176"/>
        <v>0</v>
      </c>
    </row>
    <row r="178" spans="2:29" s="47" customFormat="1" ht="51" x14ac:dyDescent="0.2">
      <c r="B178" s="86" t="s">
        <v>350</v>
      </c>
      <c r="C178" s="110" t="s">
        <v>353</v>
      </c>
      <c r="D178" s="125"/>
      <c r="E178" s="111" t="s">
        <v>469</v>
      </c>
      <c r="F178" s="103" t="s">
        <v>401</v>
      </c>
      <c r="G178" s="103" t="s">
        <v>427</v>
      </c>
      <c r="H178" s="103">
        <v>2024</v>
      </c>
      <c r="I178" s="103">
        <v>2026</v>
      </c>
      <c r="J178" s="315">
        <f>57*12*95000/22</f>
        <v>2953636.3636363638</v>
      </c>
      <c r="K178" s="260">
        <v>0</v>
      </c>
      <c r="L178" s="119">
        <f t="shared" si="210"/>
        <v>2953636.3636363638</v>
      </c>
      <c r="M178" s="260">
        <f t="shared" si="214"/>
        <v>3101318.1818181821</v>
      </c>
      <c r="N178" s="260">
        <v>0</v>
      </c>
      <c r="O178" s="119">
        <f t="shared" si="211"/>
        <v>3101318.1818181821</v>
      </c>
      <c r="P178" s="260">
        <f t="shared" si="215"/>
        <v>3256384.0909090913</v>
      </c>
      <c r="Q178" s="260">
        <v>0</v>
      </c>
      <c r="R178" s="119">
        <f t="shared" si="212"/>
        <v>3256384.0909090913</v>
      </c>
      <c r="S178" s="238">
        <f t="shared" si="222"/>
        <v>9311338.6363636367</v>
      </c>
      <c r="T178" s="238">
        <f t="shared" si="223"/>
        <v>0</v>
      </c>
      <c r="U178" s="238">
        <f t="shared" si="224"/>
        <v>9311338.6363636367</v>
      </c>
      <c r="V178" s="238">
        <f t="shared" si="225"/>
        <v>9311338.6363636367</v>
      </c>
      <c r="W178" s="238">
        <f t="shared" si="226"/>
        <v>0</v>
      </c>
      <c r="X178" s="238">
        <f t="shared" si="227"/>
        <v>9311338.6363636367</v>
      </c>
      <c r="Y178" s="119">
        <v>0</v>
      </c>
      <c r="Z178" s="119">
        <v>0</v>
      </c>
      <c r="AA178" s="119"/>
      <c r="AB178" s="119">
        <f t="shared" si="213"/>
        <v>0</v>
      </c>
      <c r="AC178" s="265">
        <f t="shared" si="176"/>
        <v>0</v>
      </c>
    </row>
    <row r="179" spans="2:29" s="47" customFormat="1" ht="51" x14ac:dyDescent="0.2">
      <c r="B179" s="86" t="s">
        <v>352</v>
      </c>
      <c r="C179" s="110" t="s">
        <v>355</v>
      </c>
      <c r="D179" s="125"/>
      <c r="E179" s="111" t="s">
        <v>469</v>
      </c>
      <c r="F179" s="103" t="s">
        <v>401</v>
      </c>
      <c r="G179" s="103" t="s">
        <v>594</v>
      </c>
      <c r="H179" s="103">
        <v>2024</v>
      </c>
      <c r="I179" s="103">
        <v>2026</v>
      </c>
      <c r="J179" s="315">
        <f>57*12*95000/22</f>
        <v>2953636.3636363638</v>
      </c>
      <c r="K179" s="260">
        <v>0</v>
      </c>
      <c r="L179" s="119">
        <f t="shared" si="210"/>
        <v>2953636.3636363638</v>
      </c>
      <c r="M179" s="260">
        <f t="shared" si="214"/>
        <v>3101318.1818181821</v>
      </c>
      <c r="N179" s="260">
        <v>0</v>
      </c>
      <c r="O179" s="119">
        <f t="shared" si="211"/>
        <v>3101318.1818181821</v>
      </c>
      <c r="P179" s="260">
        <f t="shared" si="215"/>
        <v>3256384.0909090913</v>
      </c>
      <c r="Q179" s="260">
        <v>0</v>
      </c>
      <c r="R179" s="119">
        <f t="shared" si="212"/>
        <v>3256384.0909090913</v>
      </c>
      <c r="S179" s="238">
        <f t="shared" si="222"/>
        <v>9311338.6363636367</v>
      </c>
      <c r="T179" s="238">
        <f t="shared" si="223"/>
        <v>0</v>
      </c>
      <c r="U179" s="238">
        <f t="shared" si="224"/>
        <v>9311338.6363636367</v>
      </c>
      <c r="V179" s="238">
        <f t="shared" si="225"/>
        <v>9311338.6363636367</v>
      </c>
      <c r="W179" s="238">
        <f t="shared" si="226"/>
        <v>0</v>
      </c>
      <c r="X179" s="238">
        <f t="shared" si="227"/>
        <v>9311338.6363636367</v>
      </c>
      <c r="Y179" s="119">
        <v>0</v>
      </c>
      <c r="Z179" s="119">
        <v>0</v>
      </c>
      <c r="AA179" s="119"/>
      <c r="AB179" s="119">
        <f t="shared" si="213"/>
        <v>0</v>
      </c>
      <c r="AC179" s="265">
        <f t="shared" si="176"/>
        <v>0</v>
      </c>
    </row>
    <row r="180" spans="2:29" s="47" customFormat="1" ht="63.75" x14ac:dyDescent="0.2">
      <c r="B180" s="86" t="s">
        <v>354</v>
      </c>
      <c r="C180" s="110" t="s">
        <v>644</v>
      </c>
      <c r="D180" s="125"/>
      <c r="E180" s="263" t="s">
        <v>632</v>
      </c>
      <c r="F180" s="94" t="s">
        <v>391</v>
      </c>
      <c r="G180" s="92" t="s">
        <v>643</v>
      </c>
      <c r="H180" s="103">
        <v>2024</v>
      </c>
      <c r="I180" s="103">
        <v>2026</v>
      </c>
      <c r="J180" s="259">
        <v>1050000</v>
      </c>
      <c r="K180" s="259">
        <v>0</v>
      </c>
      <c r="L180" s="96">
        <f t="shared" si="210"/>
        <v>1050000</v>
      </c>
      <c r="M180" s="259">
        <v>1050000</v>
      </c>
      <c r="N180" s="259">
        <v>0</v>
      </c>
      <c r="O180" s="96">
        <f t="shared" si="211"/>
        <v>1050000</v>
      </c>
      <c r="P180" s="259">
        <v>1050000</v>
      </c>
      <c r="Q180" s="259">
        <v>0</v>
      </c>
      <c r="R180" s="96">
        <f t="shared" si="212"/>
        <v>1050000</v>
      </c>
      <c r="S180" s="96">
        <f t="shared" si="222"/>
        <v>3150000</v>
      </c>
      <c r="T180" s="238">
        <f t="shared" si="223"/>
        <v>0</v>
      </c>
      <c r="U180" s="238">
        <f t="shared" si="224"/>
        <v>3150000</v>
      </c>
      <c r="V180" s="238">
        <f t="shared" si="225"/>
        <v>3150000</v>
      </c>
      <c r="W180" s="238">
        <f t="shared" si="226"/>
        <v>0</v>
      </c>
      <c r="X180" s="238">
        <f t="shared" si="227"/>
        <v>3150000</v>
      </c>
      <c r="Y180" s="119">
        <v>0</v>
      </c>
      <c r="Z180" s="119">
        <v>0</v>
      </c>
      <c r="AA180" s="119"/>
      <c r="AB180" s="119">
        <f t="shared" si="213"/>
        <v>0</v>
      </c>
      <c r="AC180" s="265">
        <f t="shared" si="176"/>
        <v>0</v>
      </c>
    </row>
    <row r="181" spans="2:29" s="47" customFormat="1" ht="51" x14ac:dyDescent="0.2">
      <c r="B181" s="86" t="s">
        <v>356</v>
      </c>
      <c r="C181" s="110" t="s">
        <v>358</v>
      </c>
      <c r="D181" s="125"/>
      <c r="E181" s="235" t="s">
        <v>628</v>
      </c>
      <c r="F181" s="103" t="s">
        <v>428</v>
      </c>
      <c r="G181" s="103" t="s">
        <v>595</v>
      </c>
      <c r="H181" s="103">
        <v>2024</v>
      </c>
      <c r="I181" s="103">
        <v>2026</v>
      </c>
      <c r="J181" s="260">
        <v>189000</v>
      </c>
      <c r="K181" s="260">
        <v>0</v>
      </c>
      <c r="L181" s="119">
        <f t="shared" si="210"/>
        <v>189000</v>
      </c>
      <c r="M181" s="260">
        <v>189000</v>
      </c>
      <c r="N181" s="260">
        <v>0</v>
      </c>
      <c r="O181" s="119">
        <f t="shared" si="211"/>
        <v>189000</v>
      </c>
      <c r="P181" s="260">
        <v>189000</v>
      </c>
      <c r="Q181" s="260">
        <v>0</v>
      </c>
      <c r="R181" s="119">
        <f t="shared" si="212"/>
        <v>189000</v>
      </c>
      <c r="S181" s="238">
        <f t="shared" si="222"/>
        <v>567000</v>
      </c>
      <c r="T181" s="238">
        <f t="shared" si="223"/>
        <v>0</v>
      </c>
      <c r="U181" s="238">
        <f t="shared" si="224"/>
        <v>567000</v>
      </c>
      <c r="V181" s="238">
        <f t="shared" si="225"/>
        <v>567000</v>
      </c>
      <c r="W181" s="238">
        <f t="shared" si="226"/>
        <v>0</v>
      </c>
      <c r="X181" s="238">
        <f t="shared" si="227"/>
        <v>567000</v>
      </c>
      <c r="Y181" s="119">
        <v>0</v>
      </c>
      <c r="Z181" s="119">
        <v>0</v>
      </c>
      <c r="AA181" s="119"/>
      <c r="AB181" s="119">
        <f t="shared" si="213"/>
        <v>0</v>
      </c>
      <c r="AC181" s="265">
        <f t="shared" si="176"/>
        <v>0</v>
      </c>
    </row>
    <row r="182" spans="2:29" s="47" customFormat="1" ht="65.25" customHeight="1" x14ac:dyDescent="0.2">
      <c r="B182" s="86" t="s">
        <v>357</v>
      </c>
      <c r="C182" s="110" t="s">
        <v>521</v>
      </c>
      <c r="D182" s="125"/>
      <c r="E182" s="240" t="s">
        <v>629</v>
      </c>
      <c r="F182" s="103" t="s">
        <v>518</v>
      </c>
      <c r="G182" s="103" t="s">
        <v>426</v>
      </c>
      <c r="H182" s="103">
        <v>2024</v>
      </c>
      <c r="I182" s="103">
        <v>2025</v>
      </c>
      <c r="J182" s="260">
        <v>795818</v>
      </c>
      <c r="K182" s="260">
        <v>0</v>
      </c>
      <c r="L182" s="119">
        <f t="shared" si="210"/>
        <v>795818</v>
      </c>
      <c r="M182" s="260">
        <v>2029091</v>
      </c>
      <c r="N182" s="260">
        <v>0</v>
      </c>
      <c r="O182" s="119">
        <f t="shared" si="211"/>
        <v>2029091</v>
      </c>
      <c r="P182" s="237">
        <v>0</v>
      </c>
      <c r="Q182" s="237">
        <v>0</v>
      </c>
      <c r="R182" s="96">
        <f t="shared" si="212"/>
        <v>0</v>
      </c>
      <c r="S182" s="238">
        <f t="shared" si="222"/>
        <v>2824909</v>
      </c>
      <c r="T182" s="238">
        <f t="shared" si="223"/>
        <v>0</v>
      </c>
      <c r="U182" s="238">
        <f t="shared" si="224"/>
        <v>2824909</v>
      </c>
      <c r="V182" s="238">
        <f t="shared" si="225"/>
        <v>2824909</v>
      </c>
      <c r="W182" s="238">
        <f t="shared" si="226"/>
        <v>0</v>
      </c>
      <c r="X182" s="238">
        <f t="shared" si="227"/>
        <v>2824909</v>
      </c>
      <c r="Y182" s="119">
        <v>0</v>
      </c>
      <c r="Z182" s="119">
        <v>0</v>
      </c>
      <c r="AA182" s="119"/>
      <c r="AB182" s="119">
        <f t="shared" si="213"/>
        <v>0</v>
      </c>
      <c r="AC182" s="265">
        <f t="shared" si="176"/>
        <v>0</v>
      </c>
    </row>
    <row r="183" spans="2:29" s="47" customFormat="1" ht="36.75" customHeight="1" x14ac:dyDescent="0.2">
      <c r="B183" s="86" t="s">
        <v>359</v>
      </c>
      <c r="C183" s="110" t="s">
        <v>361</v>
      </c>
      <c r="D183" s="125"/>
      <c r="E183" s="106" t="s">
        <v>475</v>
      </c>
      <c r="F183" s="103" t="s">
        <v>383</v>
      </c>
      <c r="G183" s="103" t="s">
        <v>585</v>
      </c>
      <c r="H183" s="103">
        <v>2025</v>
      </c>
      <c r="I183" s="103">
        <v>2026</v>
      </c>
      <c r="J183" s="260">
        <v>58216320</v>
      </c>
      <c r="K183" s="260">
        <v>0</v>
      </c>
      <c r="L183" s="119">
        <f t="shared" si="210"/>
        <v>58216320</v>
      </c>
      <c r="M183" s="260">
        <v>58216320</v>
      </c>
      <c r="N183" s="260">
        <v>0</v>
      </c>
      <c r="O183" s="119">
        <f t="shared" si="211"/>
        <v>58216320</v>
      </c>
      <c r="P183" s="260">
        <v>58216320</v>
      </c>
      <c r="Q183" s="260">
        <v>0</v>
      </c>
      <c r="R183" s="119">
        <f t="shared" si="212"/>
        <v>58216320</v>
      </c>
      <c r="S183" s="238">
        <f t="shared" si="222"/>
        <v>174648960</v>
      </c>
      <c r="T183" s="238">
        <f t="shared" si="223"/>
        <v>0</v>
      </c>
      <c r="U183" s="238">
        <f t="shared" si="224"/>
        <v>174648960</v>
      </c>
      <c r="V183" s="238">
        <f t="shared" si="225"/>
        <v>174648960</v>
      </c>
      <c r="W183" s="238">
        <f t="shared" si="226"/>
        <v>0</v>
      </c>
      <c r="X183" s="238">
        <f t="shared" si="227"/>
        <v>174648960</v>
      </c>
      <c r="Y183" s="119">
        <v>0</v>
      </c>
      <c r="Z183" s="119">
        <v>0</v>
      </c>
      <c r="AA183" s="119"/>
      <c r="AB183" s="119">
        <f t="shared" si="213"/>
        <v>0</v>
      </c>
      <c r="AC183" s="265">
        <f t="shared" si="176"/>
        <v>0</v>
      </c>
    </row>
    <row r="184" spans="2:29" s="47" customFormat="1" ht="37.5" customHeight="1" x14ac:dyDescent="0.2">
      <c r="B184" s="86" t="s">
        <v>360</v>
      </c>
      <c r="C184" s="110" t="s">
        <v>363</v>
      </c>
      <c r="D184" s="125"/>
      <c r="E184" s="234" t="s">
        <v>619</v>
      </c>
      <c r="F184" s="103" t="s">
        <v>620</v>
      </c>
      <c r="G184" s="103" t="s">
        <v>85</v>
      </c>
      <c r="H184" s="103">
        <v>2024</v>
      </c>
      <c r="I184" s="103">
        <v>2026</v>
      </c>
      <c r="J184" s="260">
        <v>2500000</v>
      </c>
      <c r="K184" s="260">
        <v>0</v>
      </c>
      <c r="L184" s="119">
        <f t="shared" si="210"/>
        <v>2500000</v>
      </c>
      <c r="M184" s="260">
        <v>2500000</v>
      </c>
      <c r="N184" s="260">
        <v>0</v>
      </c>
      <c r="O184" s="119">
        <f t="shared" si="211"/>
        <v>2500000</v>
      </c>
      <c r="P184" s="260">
        <v>2500000</v>
      </c>
      <c r="Q184" s="260">
        <v>0</v>
      </c>
      <c r="R184" s="119">
        <f t="shared" si="212"/>
        <v>2500000</v>
      </c>
      <c r="S184" s="238">
        <f t="shared" si="222"/>
        <v>7500000</v>
      </c>
      <c r="T184" s="238">
        <f t="shared" si="223"/>
        <v>0</v>
      </c>
      <c r="U184" s="238">
        <f t="shared" si="224"/>
        <v>7500000</v>
      </c>
      <c r="V184" s="238">
        <f t="shared" si="225"/>
        <v>7500000</v>
      </c>
      <c r="W184" s="238">
        <f t="shared" si="226"/>
        <v>0</v>
      </c>
      <c r="X184" s="238">
        <f t="shared" si="227"/>
        <v>7500000</v>
      </c>
      <c r="Y184" s="119">
        <v>0</v>
      </c>
      <c r="Z184" s="119">
        <v>0</v>
      </c>
      <c r="AA184" s="119"/>
      <c r="AB184" s="119">
        <f t="shared" si="213"/>
        <v>0</v>
      </c>
      <c r="AC184" s="265">
        <f t="shared" si="176"/>
        <v>0</v>
      </c>
    </row>
    <row r="185" spans="2:29" s="47" customFormat="1" ht="63.75" x14ac:dyDescent="0.2">
      <c r="B185" s="86" t="s">
        <v>362</v>
      </c>
      <c r="C185" s="110" t="s">
        <v>527</v>
      </c>
      <c r="D185" s="125"/>
      <c r="E185" s="234" t="s">
        <v>619</v>
      </c>
      <c r="F185" s="103" t="s">
        <v>620</v>
      </c>
      <c r="G185" s="103" t="s">
        <v>621</v>
      </c>
      <c r="H185" s="103">
        <v>2024</v>
      </c>
      <c r="I185" s="103">
        <v>2026</v>
      </c>
      <c r="J185" s="260">
        <v>3167000</v>
      </c>
      <c r="K185" s="260">
        <v>0</v>
      </c>
      <c r="L185" s="119">
        <f t="shared" si="210"/>
        <v>3167000</v>
      </c>
      <c r="M185" s="260">
        <v>3167000</v>
      </c>
      <c r="N185" s="260">
        <v>0</v>
      </c>
      <c r="O185" s="119">
        <f t="shared" si="211"/>
        <v>3167000</v>
      </c>
      <c r="P185" s="260">
        <v>3167000</v>
      </c>
      <c r="Q185" s="260">
        <v>0</v>
      </c>
      <c r="R185" s="119">
        <f t="shared" si="212"/>
        <v>3167000</v>
      </c>
      <c r="S185" s="238">
        <f t="shared" si="222"/>
        <v>9501000</v>
      </c>
      <c r="T185" s="238">
        <f t="shared" si="223"/>
        <v>0</v>
      </c>
      <c r="U185" s="238">
        <f t="shared" si="224"/>
        <v>9501000</v>
      </c>
      <c r="V185" s="238">
        <f t="shared" si="225"/>
        <v>9501000</v>
      </c>
      <c r="W185" s="238">
        <f t="shared" si="226"/>
        <v>0</v>
      </c>
      <c r="X185" s="238">
        <f t="shared" si="227"/>
        <v>9501000</v>
      </c>
      <c r="Y185" s="119">
        <v>0</v>
      </c>
      <c r="Z185" s="119">
        <v>0</v>
      </c>
      <c r="AA185" s="119"/>
      <c r="AB185" s="119">
        <f t="shared" si="213"/>
        <v>0</v>
      </c>
      <c r="AC185" s="265">
        <f t="shared" si="176"/>
        <v>0</v>
      </c>
    </row>
    <row r="186" spans="2:29" s="47" customFormat="1" ht="51" x14ac:dyDescent="0.2">
      <c r="B186" s="86" t="s">
        <v>364</v>
      </c>
      <c r="C186" s="105" t="s">
        <v>366</v>
      </c>
      <c r="D186" s="125"/>
      <c r="E186" s="235" t="s">
        <v>628</v>
      </c>
      <c r="F186" s="103" t="s">
        <v>428</v>
      </c>
      <c r="G186" s="103" t="s">
        <v>597</v>
      </c>
      <c r="H186" s="103">
        <v>2024</v>
      </c>
      <c r="I186" s="103">
        <v>2026</v>
      </c>
      <c r="J186" s="260">
        <v>1716132</v>
      </c>
      <c r="K186" s="260">
        <v>0</v>
      </c>
      <c r="L186" s="119">
        <f t="shared" si="210"/>
        <v>1716132</v>
      </c>
      <c r="M186" s="260">
        <v>1716132</v>
      </c>
      <c r="N186" s="260">
        <v>0</v>
      </c>
      <c r="O186" s="119">
        <f t="shared" si="211"/>
        <v>1716132</v>
      </c>
      <c r="P186" s="260">
        <v>1716132</v>
      </c>
      <c r="Q186" s="260">
        <v>0</v>
      </c>
      <c r="R186" s="119">
        <f t="shared" si="212"/>
        <v>1716132</v>
      </c>
      <c r="S186" s="238">
        <f t="shared" si="222"/>
        <v>5148396</v>
      </c>
      <c r="T186" s="238">
        <f t="shared" si="223"/>
        <v>0</v>
      </c>
      <c r="U186" s="238">
        <f t="shared" si="224"/>
        <v>5148396</v>
      </c>
      <c r="V186" s="238">
        <f t="shared" si="225"/>
        <v>5148396</v>
      </c>
      <c r="W186" s="238">
        <f t="shared" si="226"/>
        <v>0</v>
      </c>
      <c r="X186" s="238">
        <f t="shared" si="227"/>
        <v>5148396</v>
      </c>
      <c r="Y186" s="119">
        <v>0</v>
      </c>
      <c r="Z186" s="119">
        <v>0</v>
      </c>
      <c r="AA186" s="119"/>
      <c r="AB186" s="119">
        <f t="shared" si="213"/>
        <v>0</v>
      </c>
      <c r="AC186" s="265">
        <f t="shared" si="176"/>
        <v>0</v>
      </c>
    </row>
    <row r="187" spans="2:29" s="47" customFormat="1" ht="76.5" x14ac:dyDescent="0.2">
      <c r="B187" s="86" t="s">
        <v>365</v>
      </c>
      <c r="C187" s="105" t="s">
        <v>528</v>
      </c>
      <c r="D187" s="125"/>
      <c r="E187" s="263" t="s">
        <v>619</v>
      </c>
      <c r="F187" s="103" t="s">
        <v>429</v>
      </c>
      <c r="G187" s="103" t="s">
        <v>596</v>
      </c>
      <c r="H187" s="103">
        <v>2024</v>
      </c>
      <c r="I187" s="103">
        <v>2026</v>
      </c>
      <c r="J187" s="260">
        <v>53105</v>
      </c>
      <c r="K187" s="260">
        <v>0</v>
      </c>
      <c r="L187" s="119">
        <f t="shared" si="210"/>
        <v>53105</v>
      </c>
      <c r="M187" s="260">
        <v>53105</v>
      </c>
      <c r="N187" s="260">
        <v>0</v>
      </c>
      <c r="O187" s="119">
        <f t="shared" si="211"/>
        <v>53105</v>
      </c>
      <c r="P187" s="260">
        <v>53105</v>
      </c>
      <c r="Q187" s="260">
        <v>0</v>
      </c>
      <c r="R187" s="119">
        <f t="shared" si="212"/>
        <v>53105</v>
      </c>
      <c r="S187" s="238">
        <f>J187+M187+P187</f>
        <v>159315</v>
      </c>
      <c r="T187" s="238">
        <f t="shared" si="223"/>
        <v>0</v>
      </c>
      <c r="U187" s="238">
        <f t="shared" si="224"/>
        <v>159315</v>
      </c>
      <c r="V187" s="238">
        <f t="shared" si="225"/>
        <v>159315</v>
      </c>
      <c r="W187" s="238">
        <f t="shared" si="226"/>
        <v>0</v>
      </c>
      <c r="X187" s="238">
        <f t="shared" si="227"/>
        <v>159315</v>
      </c>
      <c r="Y187" s="119">
        <v>0</v>
      </c>
      <c r="Z187" s="119">
        <v>0</v>
      </c>
      <c r="AA187" s="119"/>
      <c r="AB187" s="119">
        <f t="shared" si="213"/>
        <v>0</v>
      </c>
      <c r="AC187" s="265">
        <f t="shared" si="176"/>
        <v>0</v>
      </c>
    </row>
    <row r="188" spans="2:29" s="68" customFormat="1" ht="27.75" customHeight="1" x14ac:dyDescent="0.2">
      <c r="B188" s="316"/>
      <c r="C188" s="267" t="s">
        <v>13</v>
      </c>
      <c r="D188" s="125"/>
      <c r="E188" s="125"/>
      <c r="F188" s="125"/>
      <c r="G188" s="125"/>
      <c r="H188" s="125"/>
      <c r="I188" s="125"/>
      <c r="J188" s="268">
        <f t="shared" ref="J188:AC188" si="228">SUM(J161:J187)</f>
        <v>177305986.72727272</v>
      </c>
      <c r="K188" s="268">
        <f t="shared" si="228"/>
        <v>0</v>
      </c>
      <c r="L188" s="268">
        <f t="shared" si="228"/>
        <v>177305986.72727272</v>
      </c>
      <c r="M188" s="268">
        <f t="shared" si="228"/>
        <v>193942817.36363637</v>
      </c>
      <c r="N188" s="268">
        <f t="shared" si="228"/>
        <v>0</v>
      </c>
      <c r="O188" s="268">
        <f t="shared" si="228"/>
        <v>193942817.36363637</v>
      </c>
      <c r="P188" s="268">
        <f t="shared" si="228"/>
        <v>199503000.18181819</v>
      </c>
      <c r="Q188" s="268">
        <f t="shared" si="228"/>
        <v>0</v>
      </c>
      <c r="R188" s="268">
        <f t="shared" si="228"/>
        <v>199503000.18181819</v>
      </c>
      <c r="S188" s="268">
        <f t="shared" si="228"/>
        <v>570751804.27272725</v>
      </c>
      <c r="T188" s="268">
        <f t="shared" si="228"/>
        <v>0</v>
      </c>
      <c r="U188" s="268">
        <f t="shared" si="228"/>
        <v>570751804.27272725</v>
      </c>
      <c r="V188" s="268">
        <f t="shared" si="228"/>
        <v>570751804.27272725</v>
      </c>
      <c r="W188" s="268">
        <f t="shared" si="228"/>
        <v>0</v>
      </c>
      <c r="X188" s="268">
        <f>SUM(X161:X187)</f>
        <v>570751804.27272725</v>
      </c>
      <c r="Y188" s="308">
        <f t="shared" si="228"/>
        <v>0</v>
      </c>
      <c r="Z188" s="308">
        <f t="shared" si="228"/>
        <v>0</v>
      </c>
      <c r="AA188" s="308">
        <f t="shared" si="228"/>
        <v>0</v>
      </c>
      <c r="AB188" s="308">
        <f t="shared" si="228"/>
        <v>0</v>
      </c>
      <c r="AC188" s="268">
        <f t="shared" si="228"/>
        <v>0</v>
      </c>
    </row>
    <row r="189" spans="2:29" s="47" customFormat="1" ht="39" customHeight="1" x14ac:dyDescent="0.2">
      <c r="B189" s="316"/>
      <c r="C189" s="269" t="s">
        <v>56</v>
      </c>
      <c r="D189" s="269" t="s">
        <v>56</v>
      </c>
      <c r="E189" s="103"/>
      <c r="F189" s="132"/>
      <c r="G189" s="132"/>
      <c r="H189" s="129"/>
      <c r="I189" s="129"/>
      <c r="J189" s="129"/>
      <c r="K189" s="317"/>
      <c r="L189" s="317"/>
      <c r="M189" s="317"/>
      <c r="N189" s="317"/>
      <c r="O189" s="317"/>
      <c r="P189" s="317"/>
      <c r="Q189" s="317"/>
      <c r="R189" s="317"/>
      <c r="S189" s="119"/>
      <c r="T189" s="119"/>
      <c r="U189" s="119"/>
      <c r="V189" s="119"/>
      <c r="W189" s="119"/>
      <c r="X189" s="119"/>
      <c r="Y189" s="311"/>
      <c r="Z189" s="311"/>
      <c r="AA189" s="311"/>
      <c r="AB189" s="311"/>
      <c r="AC189" s="265">
        <f t="shared" si="176"/>
        <v>0</v>
      </c>
    </row>
    <row r="190" spans="2:29" s="47" customFormat="1" ht="33.75" customHeight="1" x14ac:dyDescent="0.2">
      <c r="B190" s="86"/>
      <c r="C190" s="133" t="s">
        <v>367</v>
      </c>
      <c r="D190" s="318"/>
      <c r="E190" s="100"/>
      <c r="F190" s="132"/>
      <c r="G190" s="132"/>
      <c r="H190" s="134"/>
      <c r="I190" s="134"/>
      <c r="J190" s="134"/>
      <c r="K190" s="311"/>
      <c r="L190" s="311"/>
      <c r="M190" s="311"/>
      <c r="N190" s="311"/>
      <c r="O190" s="311"/>
      <c r="P190" s="311"/>
      <c r="Q190" s="311"/>
      <c r="R190" s="311"/>
      <c r="S190" s="119"/>
      <c r="T190" s="119"/>
      <c r="U190" s="119"/>
      <c r="V190" s="119"/>
      <c r="W190" s="119"/>
      <c r="X190" s="119"/>
      <c r="Y190" s="319"/>
      <c r="Z190" s="319"/>
      <c r="AA190" s="319"/>
      <c r="AB190" s="319"/>
      <c r="AC190" s="265">
        <f t="shared" si="176"/>
        <v>0</v>
      </c>
    </row>
    <row r="191" spans="2:29" s="47" customFormat="1" ht="58.5" customHeight="1" x14ac:dyDescent="0.2">
      <c r="B191" s="86" t="s">
        <v>59</v>
      </c>
      <c r="C191" s="105" t="s">
        <v>519</v>
      </c>
      <c r="D191" s="105"/>
      <c r="E191" s="263" t="s">
        <v>619</v>
      </c>
      <c r="F191" s="103" t="s">
        <v>624</v>
      </c>
      <c r="G191" s="117" t="s">
        <v>625</v>
      </c>
      <c r="H191" s="117">
        <v>2024</v>
      </c>
      <c r="I191" s="117">
        <v>2026</v>
      </c>
      <c r="J191" s="260">
        <v>1100000</v>
      </c>
      <c r="K191" s="260">
        <v>0</v>
      </c>
      <c r="L191" s="119">
        <f>J191+K191</f>
        <v>1100000</v>
      </c>
      <c r="M191" s="260">
        <v>1100000</v>
      </c>
      <c r="N191" s="260">
        <v>0</v>
      </c>
      <c r="O191" s="119">
        <f>M191+N191</f>
        <v>1100000</v>
      </c>
      <c r="P191" s="260">
        <v>1100000</v>
      </c>
      <c r="Q191" s="260">
        <v>0</v>
      </c>
      <c r="R191" s="119">
        <f>P191+Q191</f>
        <v>1100000</v>
      </c>
      <c r="S191" s="238">
        <f>J191+M191+P191</f>
        <v>3300000</v>
      </c>
      <c r="T191" s="238">
        <f t="shared" ref="T191" si="229">K191+N191+Q191</f>
        <v>0</v>
      </c>
      <c r="U191" s="238">
        <f t="shared" ref="U191" si="230">S191+T191</f>
        <v>3300000</v>
      </c>
      <c r="V191" s="238">
        <f t="shared" ref="V191" si="231">S191</f>
        <v>3300000</v>
      </c>
      <c r="W191" s="238">
        <f t="shared" ref="W191" si="232">T191</f>
        <v>0</v>
      </c>
      <c r="X191" s="238">
        <f t="shared" ref="X191" si="233">V191+W191</f>
        <v>3300000</v>
      </c>
      <c r="Y191" s="313">
        <v>0</v>
      </c>
      <c r="Z191" s="313">
        <v>0</v>
      </c>
      <c r="AA191" s="260"/>
      <c r="AB191" s="260">
        <f>Y191+Z191</f>
        <v>0</v>
      </c>
      <c r="AC191" s="265">
        <f>U191-X191-AB191</f>
        <v>0</v>
      </c>
    </row>
    <row r="192" spans="2:29" s="47" customFormat="1" ht="52.5" customHeight="1" x14ac:dyDescent="0.2">
      <c r="B192" s="86" t="s">
        <v>516</v>
      </c>
      <c r="C192" s="105" t="s">
        <v>463</v>
      </c>
      <c r="D192" s="105"/>
      <c r="E192" s="263" t="s">
        <v>619</v>
      </c>
      <c r="F192" s="103" t="s">
        <v>623</v>
      </c>
      <c r="G192" s="117" t="s">
        <v>625</v>
      </c>
      <c r="H192" s="117">
        <v>2024</v>
      </c>
      <c r="I192" s="117">
        <v>2026</v>
      </c>
      <c r="J192" s="260">
        <v>1100000</v>
      </c>
      <c r="K192" s="260">
        <v>0</v>
      </c>
      <c r="L192" s="119">
        <f t="shared" ref="L192" si="234">J192+K192</f>
        <v>1100000</v>
      </c>
      <c r="M192" s="260">
        <v>1100000</v>
      </c>
      <c r="N192" s="260">
        <v>0</v>
      </c>
      <c r="O192" s="119">
        <f t="shared" ref="O192" si="235">M192+N192</f>
        <v>1100000</v>
      </c>
      <c r="P192" s="260">
        <v>1100000</v>
      </c>
      <c r="Q192" s="260">
        <v>0</v>
      </c>
      <c r="R192" s="119">
        <f t="shared" ref="R192" si="236">P192+Q192</f>
        <v>1100000</v>
      </c>
      <c r="S192" s="238">
        <f>J192+M192+P192</f>
        <v>3300000</v>
      </c>
      <c r="T192" s="238">
        <f t="shared" ref="T192" si="237">K192+N192+Q192</f>
        <v>0</v>
      </c>
      <c r="U192" s="238">
        <f t="shared" ref="U192" si="238">S192+T192</f>
        <v>3300000</v>
      </c>
      <c r="V192" s="238">
        <f t="shared" ref="V192" si="239">S192</f>
        <v>3300000</v>
      </c>
      <c r="W192" s="238">
        <f t="shared" ref="W192" si="240">T192</f>
        <v>0</v>
      </c>
      <c r="X192" s="238">
        <f t="shared" ref="X192" si="241">V192+W192</f>
        <v>3300000</v>
      </c>
      <c r="Y192" s="313">
        <v>0</v>
      </c>
      <c r="Z192" s="313">
        <v>0</v>
      </c>
      <c r="AA192" s="260"/>
      <c r="AB192" s="260">
        <f t="shared" ref="AB192" si="242">Y192+Z192</f>
        <v>0</v>
      </c>
      <c r="AC192" s="265">
        <f t="shared" si="176"/>
        <v>0</v>
      </c>
    </row>
    <row r="193" spans="1:29" ht="31.5" customHeight="1" x14ac:dyDescent="0.2">
      <c r="B193" s="250"/>
      <c r="C193" s="267" t="s">
        <v>73</v>
      </c>
      <c r="D193" s="100"/>
      <c r="E193" s="100"/>
      <c r="F193" s="100"/>
      <c r="G193" s="100"/>
      <c r="H193" s="100"/>
      <c r="I193" s="100"/>
      <c r="J193" s="268">
        <f t="shared" ref="J193:AC193" si="243">SUM(J190:J192)</f>
        <v>2200000</v>
      </c>
      <c r="K193" s="268">
        <f t="shared" si="243"/>
        <v>0</v>
      </c>
      <c r="L193" s="268">
        <f t="shared" si="243"/>
        <v>2200000</v>
      </c>
      <c r="M193" s="268">
        <f t="shared" si="243"/>
        <v>2200000</v>
      </c>
      <c r="N193" s="268">
        <f t="shared" si="243"/>
        <v>0</v>
      </c>
      <c r="O193" s="268">
        <f t="shared" si="243"/>
        <v>2200000</v>
      </c>
      <c r="P193" s="268">
        <f t="shared" si="243"/>
        <v>2200000</v>
      </c>
      <c r="Q193" s="268">
        <f t="shared" si="243"/>
        <v>0</v>
      </c>
      <c r="R193" s="268">
        <f t="shared" si="243"/>
        <v>2200000</v>
      </c>
      <c r="S193" s="268">
        <f t="shared" si="243"/>
        <v>6600000</v>
      </c>
      <c r="T193" s="268">
        <f t="shared" si="243"/>
        <v>0</v>
      </c>
      <c r="U193" s="268">
        <f t="shared" si="243"/>
        <v>6600000</v>
      </c>
      <c r="V193" s="268">
        <f t="shared" si="243"/>
        <v>6600000</v>
      </c>
      <c r="W193" s="268">
        <f t="shared" si="243"/>
        <v>0</v>
      </c>
      <c r="X193" s="268">
        <f>SUM(X190:X192)</f>
        <v>6600000</v>
      </c>
      <c r="Y193" s="268">
        <f t="shared" si="243"/>
        <v>0</v>
      </c>
      <c r="Z193" s="268">
        <f t="shared" si="243"/>
        <v>0</v>
      </c>
      <c r="AA193" s="268">
        <f t="shared" si="243"/>
        <v>0</v>
      </c>
      <c r="AB193" s="268">
        <f t="shared" si="243"/>
        <v>0</v>
      </c>
      <c r="AC193" s="268">
        <f t="shared" si="243"/>
        <v>0</v>
      </c>
    </row>
    <row r="194" spans="1:29" ht="30.75" customHeight="1" x14ac:dyDescent="0.2">
      <c r="B194" s="320"/>
      <c r="C194" s="321" t="s">
        <v>82</v>
      </c>
      <c r="D194" s="279"/>
      <c r="E194" s="279"/>
      <c r="F194" s="279"/>
      <c r="G194" s="279"/>
      <c r="H194" s="279"/>
      <c r="I194" s="279"/>
      <c r="J194" s="280">
        <f t="shared" ref="J194:AC194" si="244">J159+J188+J193</f>
        <v>451551092.72727275</v>
      </c>
      <c r="K194" s="280">
        <f t="shared" si="244"/>
        <v>7786035</v>
      </c>
      <c r="L194" s="280">
        <f t="shared" si="244"/>
        <v>459337127.72727275</v>
      </c>
      <c r="M194" s="280">
        <f t="shared" si="244"/>
        <v>477929413.36363637</v>
      </c>
      <c r="N194" s="280">
        <f t="shared" si="244"/>
        <v>7786035</v>
      </c>
      <c r="O194" s="280">
        <f t="shared" si="244"/>
        <v>485715448.36363637</v>
      </c>
      <c r="P194" s="280">
        <f t="shared" si="244"/>
        <v>495057458.68181819</v>
      </c>
      <c r="Q194" s="280">
        <f t="shared" si="244"/>
        <v>7786035</v>
      </c>
      <c r="R194" s="280">
        <f t="shared" si="244"/>
        <v>502843493.68181819</v>
      </c>
      <c r="S194" s="280">
        <f t="shared" si="244"/>
        <v>1424537964.7727275</v>
      </c>
      <c r="T194" s="280">
        <f t="shared" si="244"/>
        <v>23358104.999999996</v>
      </c>
      <c r="U194" s="280">
        <f t="shared" si="244"/>
        <v>1447896069.7727273</v>
      </c>
      <c r="V194" s="280">
        <f t="shared" si="244"/>
        <v>1424537964.7727275</v>
      </c>
      <c r="W194" s="280">
        <f t="shared" si="244"/>
        <v>23358104.999999996</v>
      </c>
      <c r="X194" s="280">
        <f>X159+X188+X193</f>
        <v>1447896069.7727273</v>
      </c>
      <c r="Y194" s="280">
        <f t="shared" si="244"/>
        <v>0</v>
      </c>
      <c r="Z194" s="280">
        <f t="shared" si="244"/>
        <v>0</v>
      </c>
      <c r="AA194" s="280">
        <f t="shared" si="244"/>
        <v>0</v>
      </c>
      <c r="AB194" s="280">
        <f t="shared" si="244"/>
        <v>0</v>
      </c>
      <c r="AC194" s="280">
        <f t="shared" si="244"/>
        <v>0</v>
      </c>
    </row>
    <row r="195" spans="1:29" ht="42.75" customHeight="1" x14ac:dyDescent="0.2">
      <c r="B195" s="250"/>
      <c r="C195" s="187" t="s">
        <v>83</v>
      </c>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9"/>
      <c r="Z195" s="185"/>
      <c r="AA195" s="185"/>
      <c r="AB195" s="185"/>
      <c r="AC195" s="186"/>
    </row>
    <row r="196" spans="1:29" ht="42.75" customHeight="1" thickBot="1" x14ac:dyDescent="0.25">
      <c r="B196" s="250"/>
      <c r="C196" s="135"/>
      <c r="D196" s="135"/>
      <c r="E196" s="135"/>
      <c r="F196" s="178" t="s">
        <v>92</v>
      </c>
      <c r="G196" s="178"/>
      <c r="H196" s="178"/>
      <c r="I196" s="178"/>
      <c r="J196" s="178"/>
      <c r="K196" s="178"/>
      <c r="L196" s="178"/>
      <c r="M196" s="178"/>
      <c r="N196" s="178"/>
      <c r="O196" s="178"/>
      <c r="P196" s="178"/>
      <c r="Q196" s="178"/>
      <c r="R196" s="178"/>
      <c r="S196" s="143"/>
      <c r="T196" s="143"/>
      <c r="U196" s="143"/>
      <c r="V196" s="143"/>
      <c r="W196" s="143"/>
      <c r="X196" s="143"/>
      <c r="Y196" s="143"/>
      <c r="Z196" s="143"/>
      <c r="AA196" s="143"/>
      <c r="AB196" s="143"/>
      <c r="AC196" s="144"/>
    </row>
    <row r="197" spans="1:29" ht="31.5" customHeight="1" thickBot="1" x14ac:dyDescent="0.25">
      <c r="A197" s="6"/>
      <c r="B197" s="322" t="s">
        <v>0</v>
      </c>
      <c r="C197" s="286" t="s">
        <v>33</v>
      </c>
      <c r="D197" s="287" t="s">
        <v>1</v>
      </c>
      <c r="E197" s="100" t="s">
        <v>34</v>
      </c>
      <c r="F197" s="286" t="s">
        <v>35</v>
      </c>
      <c r="G197" s="286"/>
      <c r="H197" s="286" t="s">
        <v>40</v>
      </c>
      <c r="I197" s="286"/>
      <c r="J197" s="288" t="s">
        <v>43</v>
      </c>
      <c r="K197" s="289"/>
      <c r="L197" s="290"/>
      <c r="M197" s="289" t="s">
        <v>44</v>
      </c>
      <c r="N197" s="289"/>
      <c r="O197" s="289"/>
      <c r="P197" s="288" t="s">
        <v>86</v>
      </c>
      <c r="Q197" s="289"/>
      <c r="R197" s="290"/>
      <c r="S197" s="288" t="s">
        <v>93</v>
      </c>
      <c r="T197" s="289"/>
      <c r="U197" s="290"/>
      <c r="V197" s="291" t="s">
        <v>423</v>
      </c>
      <c r="W197" s="291"/>
      <c r="X197" s="291"/>
      <c r="Y197" s="291"/>
      <c r="Z197" s="291"/>
      <c r="AA197" s="291"/>
      <c r="AB197" s="292"/>
      <c r="AC197" s="293" t="s">
        <v>39</v>
      </c>
    </row>
    <row r="198" spans="1:29" ht="27" customHeight="1" thickBot="1" x14ac:dyDescent="0.25">
      <c r="B198" s="322"/>
      <c r="C198" s="286"/>
      <c r="D198" s="287"/>
      <c r="E198" s="294" t="s">
        <v>36</v>
      </c>
      <c r="F198" s="295" t="s">
        <v>37</v>
      </c>
      <c r="G198" s="295" t="s">
        <v>38</v>
      </c>
      <c r="H198" s="286" t="s">
        <v>70</v>
      </c>
      <c r="I198" s="286" t="s">
        <v>71</v>
      </c>
      <c r="J198" s="296"/>
      <c r="K198" s="291"/>
      <c r="L198" s="292"/>
      <c r="M198" s="291"/>
      <c r="N198" s="291"/>
      <c r="O198" s="291"/>
      <c r="P198" s="296"/>
      <c r="Q198" s="291"/>
      <c r="R198" s="292"/>
      <c r="S198" s="296"/>
      <c r="T198" s="291"/>
      <c r="U198" s="292"/>
      <c r="V198" s="297" t="s">
        <v>97</v>
      </c>
      <c r="W198" s="297"/>
      <c r="X198" s="298"/>
      <c r="Y198" s="299" t="s">
        <v>96</v>
      </c>
      <c r="Z198" s="297"/>
      <c r="AA198" s="297"/>
      <c r="AB198" s="298"/>
      <c r="AC198" s="300"/>
    </row>
    <row r="199" spans="1:29" ht="45" customHeight="1" x14ac:dyDescent="0.2">
      <c r="B199" s="322"/>
      <c r="C199" s="286"/>
      <c r="D199" s="287"/>
      <c r="E199" s="294"/>
      <c r="F199" s="301"/>
      <c r="G199" s="301"/>
      <c r="H199" s="286"/>
      <c r="I199" s="286"/>
      <c r="J199" s="302" t="s">
        <v>17</v>
      </c>
      <c r="K199" s="302" t="s">
        <v>18</v>
      </c>
      <c r="L199" s="302" t="s">
        <v>21</v>
      </c>
      <c r="M199" s="302" t="s">
        <v>17</v>
      </c>
      <c r="N199" s="302" t="s">
        <v>18</v>
      </c>
      <c r="O199" s="302" t="s">
        <v>21</v>
      </c>
      <c r="P199" s="302" t="s">
        <v>17</v>
      </c>
      <c r="Q199" s="302" t="s">
        <v>18</v>
      </c>
      <c r="R199" s="302" t="s">
        <v>21</v>
      </c>
      <c r="S199" s="302" t="s">
        <v>17</v>
      </c>
      <c r="T199" s="302" t="s">
        <v>18</v>
      </c>
      <c r="U199" s="302" t="s">
        <v>21</v>
      </c>
      <c r="V199" s="302" t="s">
        <v>17</v>
      </c>
      <c r="W199" s="302" t="s">
        <v>18</v>
      </c>
      <c r="X199" s="302" t="s">
        <v>19</v>
      </c>
      <c r="Y199" s="302" t="s">
        <v>17</v>
      </c>
      <c r="Z199" s="302" t="s">
        <v>18</v>
      </c>
      <c r="AA199" s="302" t="s">
        <v>41</v>
      </c>
      <c r="AB199" s="302" t="s">
        <v>42</v>
      </c>
      <c r="AC199" s="303"/>
    </row>
    <row r="200" spans="1:29" s="6" customFormat="1" ht="47.25" customHeight="1" x14ac:dyDescent="0.2">
      <c r="A200" s="7"/>
      <c r="B200" s="249"/>
      <c r="C200" s="310" t="s">
        <v>368</v>
      </c>
      <c r="D200" s="310"/>
      <c r="E200" s="101"/>
      <c r="F200" s="129"/>
      <c r="G200" s="129"/>
      <c r="H200" s="129"/>
      <c r="I200" s="129"/>
      <c r="J200" s="311"/>
      <c r="K200" s="311"/>
      <c r="L200" s="311"/>
      <c r="M200" s="311"/>
      <c r="N200" s="311"/>
      <c r="O200" s="311"/>
      <c r="P200" s="311"/>
      <c r="Q200" s="311"/>
      <c r="R200" s="311"/>
      <c r="S200" s="119"/>
      <c r="T200" s="119"/>
      <c r="U200" s="119"/>
      <c r="V200" s="119"/>
      <c r="W200" s="119"/>
      <c r="X200" s="119"/>
      <c r="Y200" s="313"/>
      <c r="Z200" s="311"/>
      <c r="AA200" s="311"/>
      <c r="AB200" s="311"/>
      <c r="AC200" s="265"/>
    </row>
    <row r="201" spans="1:29" s="6" customFormat="1" ht="41.25" customHeight="1" x14ac:dyDescent="0.2">
      <c r="A201" s="7"/>
      <c r="B201" s="86"/>
      <c r="C201" s="136" t="s">
        <v>369</v>
      </c>
      <c r="D201" s="136"/>
      <c r="E201" s="101"/>
      <c r="F201" s="129"/>
      <c r="G201" s="129"/>
      <c r="H201" s="129"/>
      <c r="I201" s="129"/>
      <c r="J201" s="311"/>
      <c r="K201" s="311"/>
      <c r="L201" s="311"/>
      <c r="M201" s="311"/>
      <c r="N201" s="311"/>
      <c r="O201" s="311"/>
      <c r="P201" s="311"/>
      <c r="Q201" s="311"/>
      <c r="R201" s="311"/>
      <c r="S201" s="119"/>
      <c r="T201" s="119"/>
      <c r="U201" s="119"/>
      <c r="V201" s="119"/>
      <c r="W201" s="119"/>
      <c r="X201" s="119"/>
      <c r="Y201" s="313"/>
      <c r="Z201" s="311"/>
      <c r="AA201" s="311"/>
      <c r="AB201" s="311"/>
      <c r="AC201" s="265"/>
    </row>
    <row r="202" spans="1:29" s="6" customFormat="1" ht="47.25" customHeight="1" x14ac:dyDescent="0.2">
      <c r="A202" s="7"/>
      <c r="B202" s="86" t="s">
        <v>60</v>
      </c>
      <c r="C202" s="137" t="s">
        <v>529</v>
      </c>
      <c r="D202" s="136"/>
      <c r="E202" s="262" t="s">
        <v>632</v>
      </c>
      <c r="F202" s="106" t="s">
        <v>391</v>
      </c>
      <c r="G202" s="106" t="s">
        <v>598</v>
      </c>
      <c r="H202" s="106">
        <v>2025</v>
      </c>
      <c r="I202" s="106">
        <v>2026</v>
      </c>
      <c r="J202" s="260">
        <v>0</v>
      </c>
      <c r="K202" s="260">
        <v>0</v>
      </c>
      <c r="L202" s="119">
        <f t="shared" ref="L202" si="245">J202+K202</f>
        <v>0</v>
      </c>
      <c r="M202" s="260">
        <v>3200000</v>
      </c>
      <c r="N202" s="260">
        <v>0</v>
      </c>
      <c r="O202" s="119">
        <f t="shared" ref="O202" si="246">M202+N202</f>
        <v>3200000</v>
      </c>
      <c r="P202" s="260">
        <v>3200000</v>
      </c>
      <c r="Q202" s="260">
        <v>0</v>
      </c>
      <c r="R202" s="119">
        <f t="shared" ref="R202" si="247">P202+Q202</f>
        <v>3200000</v>
      </c>
      <c r="S202" s="238">
        <f>J202+M202+P202</f>
        <v>6400000</v>
      </c>
      <c r="T202" s="238">
        <f t="shared" ref="T202" si="248">K202+N202+Q202</f>
        <v>0</v>
      </c>
      <c r="U202" s="238">
        <f t="shared" ref="U202" si="249">S202+T202</f>
        <v>6400000</v>
      </c>
      <c r="V202" s="238">
        <f t="shared" ref="V202" si="250">S202</f>
        <v>6400000</v>
      </c>
      <c r="W202" s="238">
        <f t="shared" ref="W202" si="251">T202</f>
        <v>0</v>
      </c>
      <c r="X202" s="238">
        <f t="shared" ref="X202" si="252">V202+W202</f>
        <v>6400000</v>
      </c>
      <c r="Y202" s="313">
        <v>0</v>
      </c>
      <c r="Z202" s="313">
        <v>0</v>
      </c>
      <c r="AA202" s="260"/>
      <c r="AB202" s="260">
        <f t="shared" ref="AB202" si="253">Y202+Z202</f>
        <v>0</v>
      </c>
      <c r="AC202" s="265">
        <f t="shared" ref="AC202:AC212" si="254">U202-X202-AB202</f>
        <v>0</v>
      </c>
    </row>
    <row r="203" spans="1:29" s="6" customFormat="1" ht="39.75" customHeight="1" x14ac:dyDescent="0.2">
      <c r="A203" s="7"/>
      <c r="B203" s="86" t="s">
        <v>61</v>
      </c>
      <c r="C203" s="137" t="s">
        <v>530</v>
      </c>
      <c r="D203" s="136"/>
      <c r="E203" s="262" t="s">
        <v>632</v>
      </c>
      <c r="F203" s="106" t="s">
        <v>391</v>
      </c>
      <c r="G203" s="106" t="s">
        <v>598</v>
      </c>
      <c r="H203" s="106">
        <v>2025</v>
      </c>
      <c r="I203" s="106">
        <v>2026</v>
      </c>
      <c r="J203" s="260">
        <v>0</v>
      </c>
      <c r="K203" s="260">
        <v>0</v>
      </c>
      <c r="L203" s="119">
        <f t="shared" ref="L203:L211" si="255">J203+K203</f>
        <v>0</v>
      </c>
      <c r="M203" s="260">
        <v>2350000</v>
      </c>
      <c r="N203" s="260">
        <v>0</v>
      </c>
      <c r="O203" s="119">
        <f t="shared" ref="O203:O211" si="256">M203+N203</f>
        <v>2350000</v>
      </c>
      <c r="P203" s="260">
        <v>2350000</v>
      </c>
      <c r="Q203" s="260">
        <v>0</v>
      </c>
      <c r="R203" s="119">
        <f t="shared" ref="R203:R211" si="257">P203+Q203</f>
        <v>2350000</v>
      </c>
      <c r="S203" s="238">
        <f t="shared" ref="S203:S205" si="258">J203+M203+P203</f>
        <v>4700000</v>
      </c>
      <c r="T203" s="238">
        <f t="shared" ref="T203:T205" si="259">K203+N203+Q203</f>
        <v>0</v>
      </c>
      <c r="U203" s="238">
        <f t="shared" ref="U203:U205" si="260">S203+T203</f>
        <v>4700000</v>
      </c>
      <c r="V203" s="238">
        <f t="shared" ref="V203:V205" si="261">S203</f>
        <v>4700000</v>
      </c>
      <c r="W203" s="238">
        <f t="shared" ref="W203:W205" si="262">T203</f>
        <v>0</v>
      </c>
      <c r="X203" s="238">
        <f t="shared" ref="X203:X205" si="263">V203+W203</f>
        <v>4700000</v>
      </c>
      <c r="Y203" s="313">
        <v>0</v>
      </c>
      <c r="Z203" s="313">
        <v>0</v>
      </c>
      <c r="AA203" s="260"/>
      <c r="AB203" s="260">
        <f t="shared" ref="AB203:AB212" si="264">Y203+Z203</f>
        <v>0</v>
      </c>
      <c r="AC203" s="265">
        <f t="shared" si="254"/>
        <v>0</v>
      </c>
    </row>
    <row r="204" spans="1:29" s="6" customFormat="1" ht="50.25" customHeight="1" x14ac:dyDescent="0.2">
      <c r="A204" s="7"/>
      <c r="B204" s="86" t="s">
        <v>62</v>
      </c>
      <c r="C204" s="137" t="s">
        <v>464</v>
      </c>
      <c r="D204" s="136"/>
      <c r="E204" s="262" t="s">
        <v>632</v>
      </c>
      <c r="F204" s="106" t="s">
        <v>391</v>
      </c>
      <c r="G204" s="106" t="s">
        <v>598</v>
      </c>
      <c r="H204" s="106">
        <v>2025</v>
      </c>
      <c r="I204" s="106">
        <v>2026</v>
      </c>
      <c r="J204" s="260">
        <v>0</v>
      </c>
      <c r="K204" s="260">
        <v>0</v>
      </c>
      <c r="L204" s="119">
        <f t="shared" si="255"/>
        <v>0</v>
      </c>
      <c r="M204" s="260">
        <v>1100000</v>
      </c>
      <c r="N204" s="260">
        <v>0</v>
      </c>
      <c r="O204" s="119">
        <f t="shared" si="256"/>
        <v>1100000</v>
      </c>
      <c r="P204" s="260">
        <v>1100000</v>
      </c>
      <c r="Q204" s="260">
        <v>0</v>
      </c>
      <c r="R204" s="119">
        <f t="shared" si="257"/>
        <v>1100000</v>
      </c>
      <c r="S204" s="238">
        <f t="shared" si="258"/>
        <v>2200000</v>
      </c>
      <c r="T204" s="238">
        <f t="shared" si="259"/>
        <v>0</v>
      </c>
      <c r="U204" s="238">
        <f t="shared" si="260"/>
        <v>2200000</v>
      </c>
      <c r="V204" s="238">
        <f t="shared" si="261"/>
        <v>2200000</v>
      </c>
      <c r="W204" s="238">
        <f t="shared" si="262"/>
        <v>0</v>
      </c>
      <c r="X204" s="238">
        <f t="shared" si="263"/>
        <v>2200000</v>
      </c>
      <c r="Y204" s="313">
        <v>0</v>
      </c>
      <c r="Z204" s="313">
        <v>0</v>
      </c>
      <c r="AA204" s="260"/>
      <c r="AB204" s="260">
        <f t="shared" si="264"/>
        <v>0</v>
      </c>
      <c r="AC204" s="265">
        <f t="shared" si="254"/>
        <v>0</v>
      </c>
    </row>
    <row r="205" spans="1:29" s="6" customFormat="1" ht="58.5" customHeight="1" x14ac:dyDescent="0.2">
      <c r="A205" s="7"/>
      <c r="B205" s="86" t="s">
        <v>370</v>
      </c>
      <c r="C205" s="137" t="s">
        <v>531</v>
      </c>
      <c r="D205" s="136"/>
      <c r="E205" s="262" t="s">
        <v>632</v>
      </c>
      <c r="F205" s="106" t="s">
        <v>391</v>
      </c>
      <c r="G205" s="106" t="s">
        <v>598</v>
      </c>
      <c r="H205" s="106">
        <v>2025</v>
      </c>
      <c r="I205" s="106">
        <v>2025</v>
      </c>
      <c r="J205" s="260">
        <v>0</v>
      </c>
      <c r="K205" s="260">
        <v>0</v>
      </c>
      <c r="L205" s="119">
        <f t="shared" si="255"/>
        <v>0</v>
      </c>
      <c r="M205" s="260">
        <v>2500000</v>
      </c>
      <c r="N205" s="260">
        <v>0</v>
      </c>
      <c r="O205" s="119">
        <f t="shared" si="256"/>
        <v>2500000</v>
      </c>
      <c r="P205" s="260">
        <v>0</v>
      </c>
      <c r="Q205" s="260">
        <v>0</v>
      </c>
      <c r="R205" s="119">
        <f t="shared" si="257"/>
        <v>0</v>
      </c>
      <c r="S205" s="238">
        <f t="shared" si="258"/>
        <v>2500000</v>
      </c>
      <c r="T205" s="238">
        <f t="shared" si="259"/>
        <v>0</v>
      </c>
      <c r="U205" s="238">
        <f t="shared" si="260"/>
        <v>2500000</v>
      </c>
      <c r="V205" s="238">
        <f t="shared" si="261"/>
        <v>2500000</v>
      </c>
      <c r="W205" s="238">
        <f t="shared" si="262"/>
        <v>0</v>
      </c>
      <c r="X205" s="238">
        <f t="shared" si="263"/>
        <v>2500000</v>
      </c>
      <c r="Y205" s="313">
        <v>0</v>
      </c>
      <c r="Z205" s="313">
        <v>0</v>
      </c>
      <c r="AA205" s="260"/>
      <c r="AB205" s="260">
        <f t="shared" si="264"/>
        <v>0</v>
      </c>
      <c r="AC205" s="265">
        <f t="shared" si="254"/>
        <v>0</v>
      </c>
    </row>
    <row r="206" spans="1:29" s="6" customFormat="1" ht="31.5" customHeight="1" x14ac:dyDescent="0.2">
      <c r="A206" s="7"/>
      <c r="B206" s="89"/>
      <c r="C206" s="131" t="s">
        <v>371</v>
      </c>
      <c r="D206" s="136"/>
      <c r="E206" s="258"/>
      <c r="F206" s="100"/>
      <c r="G206" s="100"/>
      <c r="H206" s="103"/>
      <c r="I206" s="103"/>
      <c r="J206" s="260"/>
      <c r="K206" s="260"/>
      <c r="L206" s="119"/>
      <c r="M206" s="260"/>
      <c r="N206" s="260"/>
      <c r="O206" s="119"/>
      <c r="P206" s="260"/>
      <c r="Q206" s="260"/>
      <c r="R206" s="119"/>
      <c r="S206" s="119"/>
      <c r="T206" s="119"/>
      <c r="U206" s="119"/>
      <c r="V206" s="119"/>
      <c r="W206" s="119"/>
      <c r="X206" s="119"/>
      <c r="Y206" s="313"/>
      <c r="Z206" s="313"/>
      <c r="AA206" s="260"/>
      <c r="AB206" s="260"/>
      <c r="AC206" s="265"/>
    </row>
    <row r="207" spans="1:29" s="6" customFormat="1" ht="63" customHeight="1" x14ac:dyDescent="0.2">
      <c r="A207" s="7"/>
      <c r="B207" s="86" t="s">
        <v>63</v>
      </c>
      <c r="C207" s="107" t="s">
        <v>372</v>
      </c>
      <c r="D207" s="136"/>
      <c r="E207" s="234" t="s">
        <v>618</v>
      </c>
      <c r="F207" s="103" t="s">
        <v>383</v>
      </c>
      <c r="G207" s="103" t="s">
        <v>599</v>
      </c>
      <c r="H207" s="103">
        <v>2024</v>
      </c>
      <c r="I207" s="103">
        <v>2026</v>
      </c>
      <c r="J207" s="260">
        <v>605000</v>
      </c>
      <c r="K207" s="260">
        <v>0</v>
      </c>
      <c r="L207" s="119">
        <f t="shared" si="255"/>
        <v>605000</v>
      </c>
      <c r="M207" s="260">
        <v>605000</v>
      </c>
      <c r="N207" s="260">
        <v>0</v>
      </c>
      <c r="O207" s="119">
        <f t="shared" si="256"/>
        <v>605000</v>
      </c>
      <c r="P207" s="260">
        <v>605000</v>
      </c>
      <c r="Q207" s="260">
        <v>0</v>
      </c>
      <c r="R207" s="119">
        <f t="shared" si="257"/>
        <v>605000</v>
      </c>
      <c r="S207" s="238">
        <f t="shared" ref="S207:S212" si="265">J207+M207+P207</f>
        <v>1815000</v>
      </c>
      <c r="T207" s="238">
        <f t="shared" ref="T207:T212" si="266">K207+N207+Q207</f>
        <v>0</v>
      </c>
      <c r="U207" s="238">
        <f t="shared" ref="U207:U212" si="267">S207+T207</f>
        <v>1815000</v>
      </c>
      <c r="V207" s="238">
        <f t="shared" ref="V207:V212" si="268">S207</f>
        <v>1815000</v>
      </c>
      <c r="W207" s="238">
        <f t="shared" ref="W207:W212" si="269">T207</f>
        <v>0</v>
      </c>
      <c r="X207" s="238">
        <f t="shared" ref="X207:X212" si="270">V207+W207</f>
        <v>1815000</v>
      </c>
      <c r="Y207" s="313">
        <v>0</v>
      </c>
      <c r="Z207" s="313">
        <v>0</v>
      </c>
      <c r="AA207" s="260"/>
      <c r="AB207" s="260">
        <f t="shared" si="264"/>
        <v>0</v>
      </c>
      <c r="AC207" s="265">
        <f t="shared" si="254"/>
        <v>0</v>
      </c>
    </row>
    <row r="208" spans="1:29" s="6" customFormat="1" ht="72" customHeight="1" x14ac:dyDescent="0.2">
      <c r="A208" s="7"/>
      <c r="B208" s="86" t="s">
        <v>373</v>
      </c>
      <c r="C208" s="107" t="s">
        <v>374</v>
      </c>
      <c r="D208" s="136"/>
      <c r="E208" s="234" t="s">
        <v>635</v>
      </c>
      <c r="F208" s="138" t="s">
        <v>466</v>
      </c>
      <c r="G208" s="103" t="s">
        <v>467</v>
      </c>
      <c r="H208" s="103">
        <v>2024</v>
      </c>
      <c r="I208" s="103">
        <v>2026</v>
      </c>
      <c r="J208" s="260">
        <v>18000</v>
      </c>
      <c r="K208" s="260">
        <v>0</v>
      </c>
      <c r="L208" s="119">
        <f t="shared" si="255"/>
        <v>18000</v>
      </c>
      <c r="M208" s="260">
        <v>18000</v>
      </c>
      <c r="N208" s="260">
        <v>0</v>
      </c>
      <c r="O208" s="119">
        <f t="shared" si="256"/>
        <v>18000</v>
      </c>
      <c r="P208" s="260">
        <v>18000</v>
      </c>
      <c r="Q208" s="260">
        <v>0</v>
      </c>
      <c r="R208" s="119">
        <f t="shared" si="257"/>
        <v>18000</v>
      </c>
      <c r="S208" s="238">
        <f t="shared" si="265"/>
        <v>54000</v>
      </c>
      <c r="T208" s="238">
        <f t="shared" si="266"/>
        <v>0</v>
      </c>
      <c r="U208" s="238">
        <f t="shared" si="267"/>
        <v>54000</v>
      </c>
      <c r="V208" s="238">
        <f t="shared" si="268"/>
        <v>54000</v>
      </c>
      <c r="W208" s="238">
        <f t="shared" si="269"/>
        <v>0</v>
      </c>
      <c r="X208" s="238">
        <f t="shared" si="270"/>
        <v>54000</v>
      </c>
      <c r="Y208" s="313">
        <v>0</v>
      </c>
      <c r="Z208" s="313">
        <v>0</v>
      </c>
      <c r="AA208" s="260"/>
      <c r="AB208" s="260">
        <f t="shared" si="264"/>
        <v>0</v>
      </c>
      <c r="AC208" s="265">
        <f t="shared" si="254"/>
        <v>0</v>
      </c>
    </row>
    <row r="209" spans="1:29" s="68" customFormat="1" ht="55.5" customHeight="1" x14ac:dyDescent="0.2">
      <c r="B209" s="86" t="s">
        <v>375</v>
      </c>
      <c r="C209" s="105" t="s">
        <v>472</v>
      </c>
      <c r="D209" s="101"/>
      <c r="E209" s="234" t="s">
        <v>626</v>
      </c>
      <c r="F209" s="102" t="s">
        <v>430</v>
      </c>
      <c r="G209" s="103" t="s">
        <v>397</v>
      </c>
      <c r="H209" s="92">
        <v>2024</v>
      </c>
      <c r="I209" s="92">
        <v>2026</v>
      </c>
      <c r="J209" s="237">
        <f>57*100*95000/22</f>
        <v>24613636.363636363</v>
      </c>
      <c r="K209" s="237">
        <v>0</v>
      </c>
      <c r="L209" s="96">
        <f t="shared" si="255"/>
        <v>24613636.363636363</v>
      </c>
      <c r="M209" s="260">
        <f>(J209*1.05)</f>
        <v>25844318.181818184</v>
      </c>
      <c r="N209" s="260">
        <v>0</v>
      </c>
      <c r="O209" s="119">
        <f t="shared" si="256"/>
        <v>25844318.181818184</v>
      </c>
      <c r="P209" s="260">
        <f>M209*1.05</f>
        <v>27136534.090909094</v>
      </c>
      <c r="Q209" s="260">
        <v>0</v>
      </c>
      <c r="R209" s="119">
        <f t="shared" si="257"/>
        <v>27136534.090909094</v>
      </c>
      <c r="S209" s="238">
        <f t="shared" si="265"/>
        <v>77594488.63636364</v>
      </c>
      <c r="T209" s="238">
        <f t="shared" si="266"/>
        <v>0</v>
      </c>
      <c r="U209" s="238">
        <f t="shared" si="267"/>
        <v>77594488.63636364</v>
      </c>
      <c r="V209" s="238">
        <f t="shared" si="268"/>
        <v>77594488.63636364</v>
      </c>
      <c r="W209" s="238">
        <f t="shared" si="269"/>
        <v>0</v>
      </c>
      <c r="X209" s="238">
        <f t="shared" si="270"/>
        <v>77594488.63636364</v>
      </c>
      <c r="Y209" s="313">
        <v>0</v>
      </c>
      <c r="Z209" s="313">
        <v>0</v>
      </c>
      <c r="AA209" s="260"/>
      <c r="AB209" s="260">
        <f t="shared" si="264"/>
        <v>0</v>
      </c>
      <c r="AC209" s="265">
        <f t="shared" si="254"/>
        <v>0</v>
      </c>
    </row>
    <row r="210" spans="1:29" s="68" customFormat="1" ht="39" customHeight="1" x14ac:dyDescent="0.2">
      <c r="A210" s="47"/>
      <c r="B210" s="86" t="s">
        <v>376</v>
      </c>
      <c r="C210" s="105" t="s">
        <v>465</v>
      </c>
      <c r="D210" s="323"/>
      <c r="E210" s="263" t="s">
        <v>619</v>
      </c>
      <c r="F210" s="102" t="s">
        <v>431</v>
      </c>
      <c r="G210" s="103" t="s">
        <v>585</v>
      </c>
      <c r="H210" s="103">
        <v>2024</v>
      </c>
      <c r="I210" s="103">
        <v>2026</v>
      </c>
      <c r="J210" s="260">
        <v>70807</v>
      </c>
      <c r="K210" s="260">
        <v>0</v>
      </c>
      <c r="L210" s="119">
        <f t="shared" si="255"/>
        <v>70807</v>
      </c>
      <c r="M210" s="260">
        <v>70807</v>
      </c>
      <c r="N210" s="260">
        <v>0</v>
      </c>
      <c r="O210" s="119">
        <f t="shared" si="256"/>
        <v>70807</v>
      </c>
      <c r="P210" s="260">
        <v>70807</v>
      </c>
      <c r="Q210" s="260">
        <v>0</v>
      </c>
      <c r="R210" s="119">
        <f t="shared" si="257"/>
        <v>70807</v>
      </c>
      <c r="S210" s="238">
        <f t="shared" si="265"/>
        <v>212421</v>
      </c>
      <c r="T210" s="238">
        <f t="shared" si="266"/>
        <v>0</v>
      </c>
      <c r="U210" s="238">
        <f t="shared" si="267"/>
        <v>212421</v>
      </c>
      <c r="V210" s="238">
        <f t="shared" si="268"/>
        <v>212421</v>
      </c>
      <c r="W210" s="238">
        <f t="shared" si="269"/>
        <v>0</v>
      </c>
      <c r="X210" s="238">
        <f t="shared" si="270"/>
        <v>212421</v>
      </c>
      <c r="Y210" s="313">
        <v>0</v>
      </c>
      <c r="Z210" s="313">
        <v>0</v>
      </c>
      <c r="AA210" s="260"/>
      <c r="AB210" s="260">
        <f t="shared" si="264"/>
        <v>0</v>
      </c>
      <c r="AC210" s="265">
        <f t="shared" si="254"/>
        <v>0</v>
      </c>
    </row>
    <row r="211" spans="1:29" s="68" customFormat="1" ht="52.5" customHeight="1" x14ac:dyDescent="0.2">
      <c r="A211" s="47"/>
      <c r="B211" s="86" t="s">
        <v>377</v>
      </c>
      <c r="C211" s="105" t="s">
        <v>378</v>
      </c>
      <c r="D211" s="323"/>
      <c r="E211" s="234" t="s">
        <v>475</v>
      </c>
      <c r="F211" s="102" t="s">
        <v>383</v>
      </c>
      <c r="G211" s="103" t="s">
        <v>432</v>
      </c>
      <c r="H211" s="103">
        <v>2024</v>
      </c>
      <c r="I211" s="103">
        <v>2026</v>
      </c>
      <c r="J211" s="260">
        <v>59180220</v>
      </c>
      <c r="K211" s="260">
        <v>0</v>
      </c>
      <c r="L211" s="119">
        <f t="shared" si="255"/>
        <v>59180220</v>
      </c>
      <c r="M211" s="260">
        <v>59180220</v>
      </c>
      <c r="N211" s="260">
        <v>0</v>
      </c>
      <c r="O211" s="119">
        <f t="shared" si="256"/>
        <v>59180220</v>
      </c>
      <c r="P211" s="260">
        <v>59180220</v>
      </c>
      <c r="Q211" s="260">
        <v>0</v>
      </c>
      <c r="R211" s="119">
        <f t="shared" si="257"/>
        <v>59180220</v>
      </c>
      <c r="S211" s="238">
        <f t="shared" si="265"/>
        <v>177540660</v>
      </c>
      <c r="T211" s="238">
        <f t="shared" si="266"/>
        <v>0</v>
      </c>
      <c r="U211" s="238">
        <f t="shared" si="267"/>
        <v>177540660</v>
      </c>
      <c r="V211" s="238">
        <f t="shared" si="268"/>
        <v>177540660</v>
      </c>
      <c r="W211" s="238">
        <f t="shared" si="269"/>
        <v>0</v>
      </c>
      <c r="X211" s="238">
        <f t="shared" si="270"/>
        <v>177540660</v>
      </c>
      <c r="Y211" s="313">
        <v>0</v>
      </c>
      <c r="Z211" s="313">
        <v>0</v>
      </c>
      <c r="AA211" s="260"/>
      <c r="AB211" s="260">
        <f t="shared" si="264"/>
        <v>0</v>
      </c>
      <c r="AC211" s="265">
        <f t="shared" si="254"/>
        <v>0</v>
      </c>
    </row>
    <row r="212" spans="1:29" s="47" customFormat="1" ht="66" customHeight="1" x14ac:dyDescent="0.2">
      <c r="B212" s="86" t="s">
        <v>533</v>
      </c>
      <c r="C212" s="105" t="s">
        <v>532</v>
      </c>
      <c r="D212" s="129"/>
      <c r="E212" s="234" t="s">
        <v>475</v>
      </c>
      <c r="F212" s="102" t="s">
        <v>383</v>
      </c>
      <c r="G212" s="103" t="s">
        <v>386</v>
      </c>
      <c r="H212" s="103">
        <v>2024</v>
      </c>
      <c r="I212" s="103">
        <v>2026</v>
      </c>
      <c r="J212" s="260">
        <f>56148+1037940</f>
        <v>1094088</v>
      </c>
      <c r="K212" s="313">
        <v>0</v>
      </c>
      <c r="L212" s="313">
        <f>J212+K212</f>
        <v>1094088</v>
      </c>
      <c r="M212" s="260">
        <f>56148+1037940</f>
        <v>1094088</v>
      </c>
      <c r="N212" s="313">
        <v>0</v>
      </c>
      <c r="O212" s="313">
        <f>M212+N212</f>
        <v>1094088</v>
      </c>
      <c r="P212" s="260">
        <f>56148+1037940</f>
        <v>1094088</v>
      </c>
      <c r="Q212" s="313">
        <v>0</v>
      </c>
      <c r="R212" s="313">
        <f>P212+Q212</f>
        <v>1094088</v>
      </c>
      <c r="S212" s="238">
        <f t="shared" si="265"/>
        <v>3282264</v>
      </c>
      <c r="T212" s="238">
        <f t="shared" si="266"/>
        <v>0</v>
      </c>
      <c r="U212" s="238">
        <f t="shared" si="267"/>
        <v>3282264</v>
      </c>
      <c r="V212" s="238">
        <f t="shared" si="268"/>
        <v>3282264</v>
      </c>
      <c r="W212" s="238">
        <f t="shared" si="269"/>
        <v>0</v>
      </c>
      <c r="X212" s="238">
        <f t="shared" si="270"/>
        <v>3282264</v>
      </c>
      <c r="Y212" s="313">
        <v>0</v>
      </c>
      <c r="Z212" s="313">
        <v>0</v>
      </c>
      <c r="AA212" s="260"/>
      <c r="AB212" s="260">
        <f t="shared" si="264"/>
        <v>0</v>
      </c>
      <c r="AC212" s="265">
        <f t="shared" si="254"/>
        <v>0</v>
      </c>
    </row>
    <row r="213" spans="1:29" ht="24.75" customHeight="1" x14ac:dyDescent="0.2">
      <c r="A213" s="45"/>
      <c r="B213" s="324"/>
      <c r="C213" s="267" t="s">
        <v>14</v>
      </c>
      <c r="D213" s="125"/>
      <c r="E213" s="267"/>
      <c r="F213" s="267"/>
      <c r="G213" s="267"/>
      <c r="H213" s="267"/>
      <c r="I213" s="267"/>
      <c r="J213" s="308">
        <f>SUM(J202:J212)</f>
        <v>85581751.36363636</v>
      </c>
      <c r="K213" s="308">
        <f t="shared" ref="K213:AB213" si="271">SUM(K202:K212)</f>
        <v>0</v>
      </c>
      <c r="L213" s="308">
        <f t="shared" si="271"/>
        <v>85581751.36363636</v>
      </c>
      <c r="M213" s="308">
        <f t="shared" si="271"/>
        <v>95962433.181818187</v>
      </c>
      <c r="N213" s="308">
        <f t="shared" si="271"/>
        <v>0</v>
      </c>
      <c r="O213" s="308">
        <f t="shared" si="271"/>
        <v>95962433.181818187</v>
      </c>
      <c r="P213" s="308">
        <f t="shared" si="271"/>
        <v>94754649.090909094</v>
      </c>
      <c r="Q213" s="308">
        <f t="shared" si="271"/>
        <v>0</v>
      </c>
      <c r="R213" s="308">
        <f t="shared" si="271"/>
        <v>94754649.090909094</v>
      </c>
      <c r="S213" s="308">
        <f t="shared" si="271"/>
        <v>276298833.63636363</v>
      </c>
      <c r="T213" s="308">
        <f t="shared" si="271"/>
        <v>0</v>
      </c>
      <c r="U213" s="308">
        <f t="shared" si="271"/>
        <v>276298833.63636363</v>
      </c>
      <c r="V213" s="308">
        <f t="shared" si="271"/>
        <v>276298833.63636363</v>
      </c>
      <c r="W213" s="308">
        <f t="shared" si="271"/>
        <v>0</v>
      </c>
      <c r="X213" s="308">
        <f>SUM(X202:X212)</f>
        <v>276298833.63636363</v>
      </c>
      <c r="Y213" s="308">
        <f t="shared" si="271"/>
        <v>0</v>
      </c>
      <c r="Z213" s="308">
        <f t="shared" si="271"/>
        <v>0</v>
      </c>
      <c r="AA213" s="308">
        <f t="shared" si="271"/>
        <v>0</v>
      </c>
      <c r="AB213" s="308">
        <f t="shared" si="271"/>
        <v>0</v>
      </c>
      <c r="AC213" s="308">
        <f t="shared" ref="AC213" si="272">SUM(AC202:AC212)</f>
        <v>0</v>
      </c>
    </row>
    <row r="214" spans="1:29" s="47" customFormat="1" ht="35.25" customHeight="1" x14ac:dyDescent="0.2">
      <c r="A214" s="68"/>
      <c r="B214" s="316"/>
      <c r="C214" s="310" t="s">
        <v>68</v>
      </c>
      <c r="D214" s="310"/>
      <c r="E214" s="101"/>
      <c r="F214" s="129"/>
      <c r="G214" s="129"/>
      <c r="H214" s="129"/>
      <c r="I214" s="129"/>
      <c r="J214" s="311"/>
      <c r="K214" s="311"/>
      <c r="L214" s="311"/>
      <c r="M214" s="311"/>
      <c r="N214" s="311"/>
      <c r="O214" s="311"/>
      <c r="P214" s="311"/>
      <c r="Q214" s="311"/>
      <c r="R214" s="311"/>
      <c r="S214" s="311"/>
      <c r="T214" s="311"/>
      <c r="U214" s="311"/>
      <c r="V214" s="311"/>
      <c r="W214" s="311"/>
      <c r="X214" s="311"/>
      <c r="Y214" s="313"/>
      <c r="Z214" s="311"/>
      <c r="AA214" s="313"/>
      <c r="AB214" s="313"/>
      <c r="AC214" s="325"/>
    </row>
    <row r="215" spans="1:29" s="47" customFormat="1" ht="29.25" customHeight="1" x14ac:dyDescent="0.2">
      <c r="B215" s="86"/>
      <c r="C215" s="131" t="s">
        <v>379</v>
      </c>
      <c r="D215" s="125"/>
      <c r="E215" s="125"/>
      <c r="F215" s="117"/>
      <c r="G215" s="106"/>
      <c r="H215" s="129"/>
      <c r="I215" s="129"/>
      <c r="J215" s="311"/>
      <c r="K215" s="311"/>
      <c r="L215" s="311"/>
      <c r="M215" s="311"/>
      <c r="N215" s="311"/>
      <c r="O215" s="311"/>
      <c r="P215" s="311"/>
      <c r="Q215" s="311"/>
      <c r="R215" s="311"/>
      <c r="S215" s="119"/>
      <c r="T215" s="119"/>
      <c r="U215" s="311"/>
      <c r="V215" s="311"/>
      <c r="W215" s="311"/>
      <c r="X215" s="311"/>
      <c r="Y215" s="311"/>
      <c r="Z215" s="311"/>
      <c r="AA215" s="313"/>
      <c r="AB215" s="313"/>
      <c r="AC215" s="325"/>
    </row>
    <row r="216" spans="1:29" s="47" customFormat="1" ht="41.25" customHeight="1" x14ac:dyDescent="0.2">
      <c r="B216" s="86" t="s">
        <v>64</v>
      </c>
      <c r="C216" s="104" t="s">
        <v>600</v>
      </c>
      <c r="D216" s="323"/>
      <c r="E216" s="106" t="s">
        <v>87</v>
      </c>
      <c r="F216" s="106" t="s">
        <v>383</v>
      </c>
      <c r="G216" s="106" t="s">
        <v>69</v>
      </c>
      <c r="H216" s="103">
        <v>2024</v>
      </c>
      <c r="I216" s="103">
        <v>2026</v>
      </c>
      <c r="J216" s="260">
        <v>0</v>
      </c>
      <c r="K216" s="260">
        <v>69698772</v>
      </c>
      <c r="L216" s="119">
        <f t="shared" ref="L216" si="273">J216+K216</f>
        <v>69698772</v>
      </c>
      <c r="M216" s="260">
        <v>0</v>
      </c>
      <c r="N216" s="260">
        <v>69698772</v>
      </c>
      <c r="O216" s="119">
        <f t="shared" ref="O216" si="274">M216+N216</f>
        <v>69698772</v>
      </c>
      <c r="P216" s="260">
        <v>0</v>
      </c>
      <c r="Q216" s="260">
        <v>69698772</v>
      </c>
      <c r="R216" s="119">
        <f t="shared" ref="R216" si="275">P216+Q216</f>
        <v>69698772</v>
      </c>
      <c r="S216" s="238">
        <f t="shared" ref="S216" si="276">J216+M216+P216</f>
        <v>0</v>
      </c>
      <c r="T216" s="238">
        <f t="shared" ref="T216" si="277">K216+N216+Q216</f>
        <v>209096316</v>
      </c>
      <c r="U216" s="238">
        <f t="shared" ref="U216" si="278">S216+T216</f>
        <v>209096316</v>
      </c>
      <c r="V216" s="238">
        <f t="shared" ref="V216" si="279">S216</f>
        <v>0</v>
      </c>
      <c r="W216" s="238">
        <v>0</v>
      </c>
      <c r="X216" s="238">
        <f>V216+W216</f>
        <v>0</v>
      </c>
      <c r="Y216" s="311">
        <v>0</v>
      </c>
      <c r="Z216" s="311">
        <f>T216</f>
        <v>209096316</v>
      </c>
      <c r="AA216" s="311"/>
      <c r="AB216" s="311">
        <f t="shared" ref="AB216:AB217" si="280">Y216+Z216</f>
        <v>209096316</v>
      </c>
      <c r="AC216" s="265">
        <f t="shared" ref="AC216:AC220" si="281">U216-X216-AB216</f>
        <v>0</v>
      </c>
    </row>
    <row r="217" spans="1:29" s="47" customFormat="1" ht="47.25" customHeight="1" x14ac:dyDescent="0.2">
      <c r="B217" s="86" t="s">
        <v>65</v>
      </c>
      <c r="C217" s="104" t="s">
        <v>380</v>
      </c>
      <c r="D217" s="326"/>
      <c r="E217" s="106" t="s">
        <v>87</v>
      </c>
      <c r="F217" s="106" t="s">
        <v>383</v>
      </c>
      <c r="G217" s="106" t="s">
        <v>69</v>
      </c>
      <c r="H217" s="103">
        <v>2024</v>
      </c>
      <c r="I217" s="103">
        <v>2026</v>
      </c>
      <c r="J217" s="260">
        <v>10247740</v>
      </c>
      <c r="K217" s="260">
        <v>0</v>
      </c>
      <c r="L217" s="119">
        <f t="shared" ref="L217:L220" si="282">J217+K217</f>
        <v>10247740</v>
      </c>
      <c r="M217" s="260">
        <v>10247740</v>
      </c>
      <c r="N217" s="260">
        <v>0</v>
      </c>
      <c r="O217" s="119">
        <f t="shared" ref="O217:O220" si="283">M217+N217</f>
        <v>10247740</v>
      </c>
      <c r="P217" s="260">
        <v>10247740</v>
      </c>
      <c r="Q217" s="260">
        <v>0</v>
      </c>
      <c r="R217" s="119">
        <f t="shared" ref="R217:R220" si="284">P217+Q217</f>
        <v>10247740</v>
      </c>
      <c r="S217" s="238">
        <f t="shared" ref="S217:S220" si="285">J217+M217+P217</f>
        <v>30743220</v>
      </c>
      <c r="T217" s="238">
        <f t="shared" ref="T217:T220" si="286">K217+N217+Q217</f>
        <v>0</v>
      </c>
      <c r="U217" s="238">
        <f t="shared" ref="U217:U220" si="287">S217+T217</f>
        <v>30743220</v>
      </c>
      <c r="V217" s="238">
        <f t="shared" ref="V217:V220" si="288">S217</f>
        <v>30743220</v>
      </c>
      <c r="W217" s="238">
        <f t="shared" ref="W217:W220" si="289">T217</f>
        <v>0</v>
      </c>
      <c r="X217" s="238">
        <f>V217+W217</f>
        <v>30743220</v>
      </c>
      <c r="Y217" s="313">
        <v>0</v>
      </c>
      <c r="Z217" s="313">
        <v>0</v>
      </c>
      <c r="AA217" s="260"/>
      <c r="AB217" s="260">
        <f t="shared" si="280"/>
        <v>0</v>
      </c>
      <c r="AC217" s="265">
        <f t="shared" si="281"/>
        <v>0</v>
      </c>
    </row>
    <row r="218" spans="1:29" s="47" customFormat="1" ht="23.25" customHeight="1" x14ac:dyDescent="0.2">
      <c r="B218" s="99"/>
      <c r="C218" s="139" t="s">
        <v>468</v>
      </c>
      <c r="D218" s="125"/>
      <c r="E218" s="103"/>
      <c r="F218" s="103"/>
      <c r="G218" s="103"/>
      <c r="H218" s="103"/>
      <c r="I218" s="103"/>
      <c r="J218" s="260"/>
      <c r="K218" s="260"/>
      <c r="L218" s="119"/>
      <c r="M218" s="260"/>
      <c r="N218" s="260"/>
      <c r="O218" s="119"/>
      <c r="P218" s="260"/>
      <c r="Q218" s="260"/>
      <c r="R218" s="119"/>
      <c r="S218" s="238"/>
      <c r="T218" s="238"/>
      <c r="U218" s="238"/>
      <c r="V218" s="238"/>
      <c r="W218" s="238"/>
      <c r="X218" s="238"/>
      <c r="Y218" s="313"/>
      <c r="Z218" s="313"/>
      <c r="AA218" s="260"/>
      <c r="AB218" s="260"/>
      <c r="AC218" s="265">
        <f t="shared" si="281"/>
        <v>0</v>
      </c>
    </row>
    <row r="219" spans="1:29" s="68" customFormat="1" ht="66.75" customHeight="1" x14ac:dyDescent="0.2">
      <c r="A219" s="47"/>
      <c r="B219" s="89" t="s">
        <v>66</v>
      </c>
      <c r="C219" s="104" t="s">
        <v>601</v>
      </c>
      <c r="D219" s="323"/>
      <c r="E219" s="106" t="s">
        <v>475</v>
      </c>
      <c r="F219" s="103" t="s">
        <v>383</v>
      </c>
      <c r="G219" s="103" t="s">
        <v>88</v>
      </c>
      <c r="H219" s="103">
        <v>2024</v>
      </c>
      <c r="I219" s="103">
        <v>2026</v>
      </c>
      <c r="J219" s="260">
        <v>3500000</v>
      </c>
      <c r="K219" s="260">
        <v>0</v>
      </c>
      <c r="L219" s="119">
        <f t="shared" si="282"/>
        <v>3500000</v>
      </c>
      <c r="M219" s="260">
        <v>3500000</v>
      </c>
      <c r="N219" s="260">
        <v>0</v>
      </c>
      <c r="O219" s="119">
        <f t="shared" si="283"/>
        <v>3500000</v>
      </c>
      <c r="P219" s="260">
        <v>3500000</v>
      </c>
      <c r="Q219" s="260">
        <v>0</v>
      </c>
      <c r="R219" s="119">
        <f t="shared" si="284"/>
        <v>3500000</v>
      </c>
      <c r="S219" s="238">
        <f t="shared" si="285"/>
        <v>10500000</v>
      </c>
      <c r="T219" s="238">
        <f t="shared" si="286"/>
        <v>0</v>
      </c>
      <c r="U219" s="238">
        <f t="shared" si="287"/>
        <v>10500000</v>
      </c>
      <c r="V219" s="238">
        <f t="shared" si="288"/>
        <v>10500000</v>
      </c>
      <c r="W219" s="238">
        <f t="shared" si="289"/>
        <v>0</v>
      </c>
      <c r="X219" s="238">
        <f>V219+W219</f>
        <v>10500000</v>
      </c>
      <c r="Y219" s="313">
        <v>0</v>
      </c>
      <c r="Z219" s="313">
        <v>0</v>
      </c>
      <c r="AA219" s="260"/>
      <c r="AB219" s="260">
        <f t="shared" ref="AB219:AB220" si="290">Y219+Z219</f>
        <v>0</v>
      </c>
      <c r="AC219" s="265">
        <f t="shared" si="281"/>
        <v>0</v>
      </c>
    </row>
    <row r="220" spans="1:29" s="68" customFormat="1" ht="79.5" customHeight="1" x14ac:dyDescent="0.2">
      <c r="A220" s="47"/>
      <c r="B220" s="89" t="s">
        <v>67</v>
      </c>
      <c r="C220" s="107" t="s">
        <v>381</v>
      </c>
      <c r="D220" s="323"/>
      <c r="E220" s="106" t="s">
        <v>475</v>
      </c>
      <c r="F220" s="103" t="s">
        <v>383</v>
      </c>
      <c r="G220" s="103" t="s">
        <v>602</v>
      </c>
      <c r="H220" s="103">
        <v>2024</v>
      </c>
      <c r="I220" s="103">
        <v>2026</v>
      </c>
      <c r="J220" s="260">
        <v>1129640</v>
      </c>
      <c r="K220" s="260">
        <v>0</v>
      </c>
      <c r="L220" s="119">
        <f t="shared" si="282"/>
        <v>1129640</v>
      </c>
      <c r="M220" s="260">
        <v>1129640</v>
      </c>
      <c r="N220" s="260">
        <v>0</v>
      </c>
      <c r="O220" s="119">
        <f t="shared" si="283"/>
        <v>1129640</v>
      </c>
      <c r="P220" s="260">
        <v>1129640</v>
      </c>
      <c r="Q220" s="260">
        <v>0</v>
      </c>
      <c r="R220" s="119">
        <f t="shared" si="284"/>
        <v>1129640</v>
      </c>
      <c r="S220" s="238">
        <f t="shared" si="285"/>
        <v>3388920</v>
      </c>
      <c r="T220" s="238">
        <f t="shared" si="286"/>
        <v>0</v>
      </c>
      <c r="U220" s="238">
        <f t="shared" si="287"/>
        <v>3388920</v>
      </c>
      <c r="V220" s="238">
        <f t="shared" si="288"/>
        <v>3388920</v>
      </c>
      <c r="W220" s="238">
        <f t="shared" si="289"/>
        <v>0</v>
      </c>
      <c r="X220" s="238">
        <f t="shared" ref="X220" si="291">V220+W220</f>
        <v>3388920</v>
      </c>
      <c r="Y220" s="313">
        <v>0</v>
      </c>
      <c r="Z220" s="313">
        <v>0</v>
      </c>
      <c r="AA220" s="260"/>
      <c r="AB220" s="260">
        <f t="shared" si="290"/>
        <v>0</v>
      </c>
      <c r="AC220" s="265">
        <f t="shared" si="281"/>
        <v>0</v>
      </c>
    </row>
    <row r="221" spans="1:29" ht="27.75" customHeight="1" x14ac:dyDescent="0.2">
      <c r="B221" s="320"/>
      <c r="C221" s="321" t="s">
        <v>15</v>
      </c>
      <c r="D221" s="327"/>
      <c r="E221" s="327"/>
      <c r="F221" s="279"/>
      <c r="G221" s="279"/>
      <c r="H221" s="279"/>
      <c r="I221" s="279"/>
      <c r="J221" s="280">
        <f>SUM(J215:J220)</f>
        <v>14877380</v>
      </c>
      <c r="K221" s="280">
        <f t="shared" ref="K221:AC221" si="292">SUM(K215:K220)</f>
        <v>69698772</v>
      </c>
      <c r="L221" s="280">
        <f t="shared" si="292"/>
        <v>84576152</v>
      </c>
      <c r="M221" s="280">
        <f t="shared" si="292"/>
        <v>14877380</v>
      </c>
      <c r="N221" s="280">
        <f t="shared" si="292"/>
        <v>69698772</v>
      </c>
      <c r="O221" s="280">
        <f t="shared" si="292"/>
        <v>84576152</v>
      </c>
      <c r="P221" s="280">
        <f t="shared" si="292"/>
        <v>14877380</v>
      </c>
      <c r="Q221" s="280">
        <f t="shared" si="292"/>
        <v>69698772</v>
      </c>
      <c r="R221" s="280">
        <f t="shared" si="292"/>
        <v>84576152</v>
      </c>
      <c r="S221" s="280">
        <f t="shared" si="292"/>
        <v>44632140</v>
      </c>
      <c r="T221" s="280">
        <f t="shared" si="292"/>
        <v>209096316</v>
      </c>
      <c r="U221" s="280">
        <f t="shared" si="292"/>
        <v>253728456</v>
      </c>
      <c r="V221" s="280">
        <f t="shared" si="292"/>
        <v>44632140</v>
      </c>
      <c r="W221" s="280">
        <f t="shared" si="292"/>
        <v>0</v>
      </c>
      <c r="X221" s="280">
        <f>SUM(X215:X220)</f>
        <v>44632140</v>
      </c>
      <c r="Y221" s="280">
        <f t="shared" si="292"/>
        <v>0</v>
      </c>
      <c r="Z221" s="280">
        <f t="shared" si="292"/>
        <v>209096316</v>
      </c>
      <c r="AA221" s="280">
        <f t="shared" si="292"/>
        <v>0</v>
      </c>
      <c r="AB221" s="280">
        <f t="shared" si="292"/>
        <v>209096316</v>
      </c>
      <c r="AC221" s="280">
        <f t="shared" si="292"/>
        <v>0</v>
      </c>
    </row>
    <row r="222" spans="1:29" ht="35.25" customHeight="1" x14ac:dyDescent="0.2">
      <c r="B222" s="328"/>
      <c r="C222" s="329" t="s">
        <v>648</v>
      </c>
      <c r="D222" s="329"/>
      <c r="E222" s="330"/>
      <c r="F222" s="331"/>
      <c r="G222" s="331"/>
      <c r="H222" s="331"/>
      <c r="I222" s="331"/>
      <c r="J222" s="332">
        <f>J213+J221</f>
        <v>100459131.36363636</v>
      </c>
      <c r="K222" s="332">
        <f t="shared" ref="K222:AC222" si="293">K213+K221</f>
        <v>69698772</v>
      </c>
      <c r="L222" s="332">
        <f t="shared" si="293"/>
        <v>170157903.36363637</v>
      </c>
      <c r="M222" s="332">
        <f t="shared" si="293"/>
        <v>110839813.18181819</v>
      </c>
      <c r="N222" s="332">
        <f t="shared" si="293"/>
        <v>69698772</v>
      </c>
      <c r="O222" s="332">
        <f t="shared" si="293"/>
        <v>180538585.18181819</v>
      </c>
      <c r="P222" s="332">
        <f t="shared" si="293"/>
        <v>109632029.09090909</v>
      </c>
      <c r="Q222" s="332">
        <f t="shared" si="293"/>
        <v>69698772</v>
      </c>
      <c r="R222" s="332">
        <f t="shared" si="293"/>
        <v>179330801.09090909</v>
      </c>
      <c r="S222" s="332">
        <f t="shared" si="293"/>
        <v>320930973.63636363</v>
      </c>
      <c r="T222" s="332">
        <f t="shared" si="293"/>
        <v>209096316</v>
      </c>
      <c r="U222" s="332">
        <f t="shared" si="293"/>
        <v>530027289.63636363</v>
      </c>
      <c r="V222" s="332">
        <f t="shared" si="293"/>
        <v>320930973.63636363</v>
      </c>
      <c r="W222" s="332">
        <f t="shared" si="293"/>
        <v>0</v>
      </c>
      <c r="X222" s="332">
        <f>X213+X221</f>
        <v>320930973.63636363</v>
      </c>
      <c r="Y222" s="332">
        <f t="shared" si="293"/>
        <v>0</v>
      </c>
      <c r="Z222" s="332">
        <f t="shared" si="293"/>
        <v>209096316</v>
      </c>
      <c r="AA222" s="332">
        <f t="shared" si="293"/>
        <v>0</v>
      </c>
      <c r="AB222" s="332">
        <f t="shared" si="293"/>
        <v>209096316</v>
      </c>
      <c r="AC222" s="332">
        <f t="shared" si="293"/>
        <v>0</v>
      </c>
    </row>
    <row r="223" spans="1:29" ht="32.25" customHeight="1" thickBot="1" x14ac:dyDescent="0.25">
      <c r="B223" s="333"/>
      <c r="C223" s="334" t="s">
        <v>89</v>
      </c>
      <c r="D223" s="335"/>
      <c r="E223" s="335"/>
      <c r="F223" s="336"/>
      <c r="G223" s="337"/>
      <c r="H223" s="337"/>
      <c r="I223" s="337"/>
      <c r="J223" s="338">
        <f t="shared" ref="J223:AC223" si="294">J129+J194+J222</f>
        <v>4713825576.9504328</v>
      </c>
      <c r="K223" s="338">
        <f t="shared" si="294"/>
        <v>83264125</v>
      </c>
      <c r="L223" s="338">
        <f t="shared" si="294"/>
        <v>4797089701.9504328</v>
      </c>
      <c r="M223" s="338">
        <f t="shared" si="294"/>
        <v>4786450876.7256289</v>
      </c>
      <c r="N223" s="338">
        <f t="shared" si="294"/>
        <v>82962855.398887083</v>
      </c>
      <c r="O223" s="338">
        <f t="shared" si="294"/>
        <v>4869413732.1245155</v>
      </c>
      <c r="P223" s="338">
        <f t="shared" si="294"/>
        <v>4830024433.1204958</v>
      </c>
      <c r="Q223" s="338">
        <f t="shared" si="294"/>
        <v>82908074.201803192</v>
      </c>
      <c r="R223" s="338">
        <f t="shared" si="294"/>
        <v>4912932507.322299</v>
      </c>
      <c r="S223" s="338">
        <f t="shared" si="294"/>
        <v>14330300886.796558</v>
      </c>
      <c r="T223" s="338">
        <f t="shared" si="294"/>
        <v>249135054.60069028</v>
      </c>
      <c r="U223" s="338">
        <f t="shared" si="294"/>
        <v>14579435941.397251</v>
      </c>
      <c r="V223" s="338">
        <f t="shared" si="294"/>
        <v>14330300886.796558</v>
      </c>
      <c r="W223" s="338">
        <f t="shared" si="294"/>
        <v>25038738.600690283</v>
      </c>
      <c r="X223" s="338">
        <f>X129+X194+X222</f>
        <v>14355339625.397251</v>
      </c>
      <c r="Y223" s="338">
        <f t="shared" si="294"/>
        <v>0</v>
      </c>
      <c r="Z223" s="338">
        <f t="shared" si="294"/>
        <v>209096316</v>
      </c>
      <c r="AA223" s="338">
        <f t="shared" si="294"/>
        <v>0</v>
      </c>
      <c r="AB223" s="338">
        <f t="shared" si="294"/>
        <v>209096316</v>
      </c>
      <c r="AC223" s="338">
        <f t="shared" si="294"/>
        <v>15000000</v>
      </c>
    </row>
    <row r="226" spans="7:9" ht="29.25" customHeight="1" x14ac:dyDescent="0.25">
      <c r="G226" s="66"/>
      <c r="I226" s="67"/>
    </row>
  </sheetData>
  <autoFilter ref="B6:C223" xr:uid="{DEF8B1F1-39A6-40BD-B027-DEF2024369CA}"/>
  <mergeCells count="69">
    <mergeCell ref="AC197:AC198"/>
    <mergeCell ref="E198:E199"/>
    <mergeCell ref="F198:F199"/>
    <mergeCell ref="G198:G199"/>
    <mergeCell ref="H198:H199"/>
    <mergeCell ref="I198:I199"/>
    <mergeCell ref="V198:X198"/>
    <mergeCell ref="Y198:AB198"/>
    <mergeCell ref="J197:L198"/>
    <mergeCell ref="M197:O198"/>
    <mergeCell ref="P197:R198"/>
    <mergeCell ref="S197:U198"/>
    <mergeCell ref="V197:AB197"/>
    <mergeCell ref="Y133:AB133"/>
    <mergeCell ref="P132:R133"/>
    <mergeCell ref="B197:B199"/>
    <mergeCell ref="C197:C199"/>
    <mergeCell ref="D197:D199"/>
    <mergeCell ref="F197:G197"/>
    <mergeCell ref="H197:I197"/>
    <mergeCell ref="S132:U133"/>
    <mergeCell ref="G7:G8"/>
    <mergeCell ref="C6:C8"/>
    <mergeCell ref="AC132:AC133"/>
    <mergeCell ref="Z195:AC195"/>
    <mergeCell ref="C130:R130"/>
    <mergeCell ref="V133:X133"/>
    <mergeCell ref="C129:D129"/>
    <mergeCell ref="V132:AB132"/>
    <mergeCell ref="E133:E134"/>
    <mergeCell ref="F131:O131"/>
    <mergeCell ref="C195:Y195"/>
    <mergeCell ref="F133:F134"/>
    <mergeCell ref="G133:G134"/>
    <mergeCell ref="H133:H134"/>
    <mergeCell ref="I133:I134"/>
    <mergeCell ref="C160:D160"/>
    <mergeCell ref="C222:D222"/>
    <mergeCell ref="C200:D200"/>
    <mergeCell ref="C214:D214"/>
    <mergeCell ref="B4:AC4"/>
    <mergeCell ref="B5:AC5"/>
    <mergeCell ref="F196:R196"/>
    <mergeCell ref="C132:C134"/>
    <mergeCell ref="D132:D134"/>
    <mergeCell ref="F132:G132"/>
    <mergeCell ref="H132:I132"/>
    <mergeCell ref="J132:L133"/>
    <mergeCell ref="M132:O133"/>
    <mergeCell ref="C9:D9"/>
    <mergeCell ref="C10:D10"/>
    <mergeCell ref="H7:H8"/>
    <mergeCell ref="I7:I8"/>
    <mergeCell ref="M6:O7"/>
    <mergeCell ref="J6:L7"/>
    <mergeCell ref="B2:AC2"/>
    <mergeCell ref="H6:I6"/>
    <mergeCell ref="B3:AC3"/>
    <mergeCell ref="AC6:AC7"/>
    <mergeCell ref="D6:D8"/>
    <mergeCell ref="B6:B8"/>
    <mergeCell ref="F6:G6"/>
    <mergeCell ref="V7:X7"/>
    <mergeCell ref="V6:AB6"/>
    <mergeCell ref="Y7:AB7"/>
    <mergeCell ref="S6:U7"/>
    <mergeCell ref="P6:R7"/>
    <mergeCell ref="E7:E8"/>
    <mergeCell ref="F7:F8"/>
  </mergeCells>
  <phoneticPr fontId="7"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S41"/>
  <sheetViews>
    <sheetView topLeftCell="G16" zoomScale="60" zoomScaleNormal="60" workbookViewId="0">
      <selection activeCell="I31" sqref="I31"/>
    </sheetView>
  </sheetViews>
  <sheetFormatPr defaultRowHeight="15" x14ac:dyDescent="0.25"/>
  <cols>
    <col min="2" max="2" width="42.85546875" customWidth="1"/>
    <col min="3" max="3" width="21.42578125" customWidth="1"/>
    <col min="4" max="4" width="36.5703125" customWidth="1"/>
    <col min="5" max="5" width="14.28515625" customWidth="1"/>
    <col min="6" max="6" width="10.7109375" customWidth="1"/>
    <col min="7" max="7" width="42.85546875" style="16" customWidth="1"/>
    <col min="8" max="8" width="23.5703125" style="16" customWidth="1"/>
    <col min="9" max="9" width="27.85546875" style="16" customWidth="1"/>
    <col min="10" max="10" width="23.85546875" style="16" customWidth="1"/>
    <col min="11" max="11" width="23.5703125" style="16" customWidth="1"/>
    <col min="12" max="12" width="24.140625" style="16" customWidth="1"/>
    <col min="13" max="13" width="24.5703125" style="16" customWidth="1"/>
    <col min="14" max="14" width="23.42578125" style="16" customWidth="1"/>
    <col min="15" max="15" width="22.85546875" style="16" customWidth="1"/>
    <col min="16" max="16" width="25" style="16" customWidth="1"/>
    <col min="17" max="17" width="23" style="16" customWidth="1"/>
    <col min="18" max="18" width="22.7109375" style="22" customWidth="1"/>
    <col min="19" max="19" width="34.85546875" style="22" customWidth="1"/>
  </cols>
  <sheetData>
    <row r="1" spans="2:17" ht="38.25" customHeight="1" thickBot="1" x14ac:dyDescent="0.4">
      <c r="B1" s="193" t="s">
        <v>127</v>
      </c>
      <c r="C1" s="194"/>
      <c r="D1" s="194"/>
      <c r="E1" s="194"/>
      <c r="F1" s="194"/>
      <c r="G1" s="194"/>
      <c r="H1" s="194"/>
      <c r="I1" s="194"/>
      <c r="J1" s="194"/>
      <c r="K1" s="194"/>
      <c r="L1" s="194"/>
      <c r="M1" s="194"/>
      <c r="N1" s="194"/>
      <c r="O1" s="194"/>
      <c r="P1" s="194"/>
      <c r="Q1" s="195"/>
    </row>
    <row r="2" spans="2:17" ht="105.75" customHeight="1" thickBot="1" x14ac:dyDescent="0.3">
      <c r="B2" s="206" t="s">
        <v>104</v>
      </c>
      <c r="C2" s="202" t="s">
        <v>35</v>
      </c>
      <c r="D2" s="208"/>
      <c r="E2" s="202" t="s">
        <v>40</v>
      </c>
      <c r="F2" s="208"/>
      <c r="G2" s="196" t="s">
        <v>105</v>
      </c>
      <c r="H2" s="197"/>
      <c r="I2" s="198"/>
      <c r="J2" s="202" t="s">
        <v>94</v>
      </c>
      <c r="K2" s="209"/>
      <c r="L2" s="209"/>
      <c r="M2" s="209"/>
      <c r="N2" s="209"/>
      <c r="O2" s="208"/>
      <c r="P2" s="210" t="s">
        <v>103</v>
      </c>
      <c r="Q2" s="190" t="s">
        <v>607</v>
      </c>
    </row>
    <row r="3" spans="2:17" ht="70.5" customHeight="1" thickBot="1" x14ac:dyDescent="0.3">
      <c r="B3" s="207"/>
      <c r="C3" s="190" t="s">
        <v>37</v>
      </c>
      <c r="D3" s="190" t="s">
        <v>38</v>
      </c>
      <c r="E3" s="190" t="s">
        <v>70</v>
      </c>
      <c r="F3" s="190" t="s">
        <v>71</v>
      </c>
      <c r="G3" s="199"/>
      <c r="H3" s="200"/>
      <c r="I3" s="201"/>
      <c r="J3" s="202" t="s">
        <v>102</v>
      </c>
      <c r="K3" s="203"/>
      <c r="L3" s="204"/>
      <c r="M3" s="202" t="s">
        <v>106</v>
      </c>
      <c r="N3" s="205"/>
      <c r="O3" s="205"/>
      <c r="P3" s="211"/>
      <c r="Q3" s="191"/>
    </row>
    <row r="4" spans="2:17" ht="48.75" customHeight="1" thickBot="1" x14ac:dyDescent="0.3">
      <c r="B4" s="213"/>
      <c r="C4" s="212"/>
      <c r="D4" s="212"/>
      <c r="E4" s="212"/>
      <c r="F4" s="212"/>
      <c r="G4" s="9" t="s">
        <v>17</v>
      </c>
      <c r="H4" s="10" t="s">
        <v>18</v>
      </c>
      <c r="I4" s="11" t="s">
        <v>21</v>
      </c>
      <c r="J4" s="9" t="s">
        <v>17</v>
      </c>
      <c r="K4" s="10" t="s">
        <v>18</v>
      </c>
      <c r="L4" s="11" t="s">
        <v>19</v>
      </c>
      <c r="M4" s="9" t="s">
        <v>17</v>
      </c>
      <c r="N4" s="10" t="s">
        <v>18</v>
      </c>
      <c r="O4" s="11" t="s">
        <v>20</v>
      </c>
      <c r="P4" s="11"/>
      <c r="Q4" s="15"/>
    </row>
    <row r="5" spans="2:17" ht="155.25" customHeight="1" x14ac:dyDescent="0.25">
      <c r="B5" s="71" t="s">
        <v>120</v>
      </c>
      <c r="C5" s="4" t="s">
        <v>85</v>
      </c>
      <c r="D5" s="70" t="s">
        <v>130</v>
      </c>
      <c r="E5" s="3">
        <v>2021</v>
      </c>
      <c r="F5" s="3">
        <v>2023</v>
      </c>
      <c r="G5" s="12" t="e">
        <f>'Kostimi i Planit te Veprimit'!#REF!</f>
        <v>#REF!</v>
      </c>
      <c r="H5" s="12" t="e">
        <f>'Kostimi i Planit te Veprimit'!#REF!</f>
        <v>#REF!</v>
      </c>
      <c r="I5" s="13" t="e">
        <f>SUM(G5:H5)</f>
        <v>#REF!</v>
      </c>
      <c r="J5" s="12" t="e">
        <f>'Kostimi i Planit te Veprimit'!#REF!</f>
        <v>#REF!</v>
      </c>
      <c r="K5" s="12" t="e">
        <f>'Kostimi i Planit te Veprimit'!#REF!</f>
        <v>#REF!</v>
      </c>
      <c r="L5" s="13" t="e">
        <f>SUM(J5:K5)</f>
        <v>#REF!</v>
      </c>
      <c r="M5" s="12" t="e">
        <f>'Kostimi i Planit te Veprimit'!#REF!</f>
        <v>#REF!</v>
      </c>
      <c r="N5" s="12" t="e">
        <f>'Kostimi i Planit te Veprimit'!#REF!</f>
        <v>#REF!</v>
      </c>
      <c r="O5" s="13" t="e">
        <f>SUM(M5:N5)</f>
        <v>#REF!</v>
      </c>
      <c r="P5" s="13" t="e">
        <f>'Kostimi i Planit te Veprimit'!#REF!</f>
        <v>#REF!</v>
      </c>
      <c r="Q5" s="17" t="e">
        <f>I5/125</f>
        <v>#REF!</v>
      </c>
    </row>
    <row r="6" spans="2:17" ht="137.25" customHeight="1" x14ac:dyDescent="0.25">
      <c r="B6" s="71" t="s">
        <v>121</v>
      </c>
      <c r="C6" s="70" t="s">
        <v>131</v>
      </c>
      <c r="D6" s="70" t="s">
        <v>132</v>
      </c>
      <c r="E6" s="3">
        <v>2021</v>
      </c>
      <c r="F6" s="3">
        <v>2023</v>
      </c>
      <c r="G6" s="12" t="e">
        <f>'Kostimi i Planit te Veprimit'!#REF!</f>
        <v>#REF!</v>
      </c>
      <c r="H6" s="12" t="e">
        <f>'Kostimi i Planit te Veprimit'!#REF!</f>
        <v>#REF!</v>
      </c>
      <c r="I6" s="13" t="e">
        <f>SUM(G6:H6)</f>
        <v>#REF!</v>
      </c>
      <c r="J6" s="12" t="e">
        <f>'Kostimi i Planit te Veprimit'!#REF!</f>
        <v>#REF!</v>
      </c>
      <c r="K6" s="12" t="e">
        <f>'Kostimi i Planit te Veprimit'!#REF!</f>
        <v>#REF!</v>
      </c>
      <c r="L6" s="13" t="e">
        <f>SUM(J6:K6)</f>
        <v>#REF!</v>
      </c>
      <c r="M6" s="12" t="e">
        <f>'Kostimi i Planit te Veprimit'!#REF!</f>
        <v>#REF!</v>
      </c>
      <c r="N6" s="12" t="e">
        <f>'Kostimi i Planit te Veprimit'!#REF!</f>
        <v>#REF!</v>
      </c>
      <c r="O6" s="13" t="e">
        <f t="shared" ref="O6" si="0">SUM(M6:N6)</f>
        <v>#REF!</v>
      </c>
      <c r="P6" s="13" t="e">
        <f>'Kostimi i Planit te Veprimit'!#REF!</f>
        <v>#REF!</v>
      </c>
      <c r="Q6" s="17" t="e">
        <f>I6/125</f>
        <v>#REF!</v>
      </c>
    </row>
    <row r="7" spans="2:17" ht="137.25" customHeight="1" x14ac:dyDescent="0.25">
      <c r="B7" s="71" t="s">
        <v>122</v>
      </c>
      <c r="C7" s="1" t="s">
        <v>133</v>
      </c>
      <c r="D7" s="1" t="s">
        <v>134</v>
      </c>
      <c r="E7" s="3">
        <v>2021</v>
      </c>
      <c r="F7" s="3">
        <v>2023</v>
      </c>
      <c r="G7" s="12">
        <f>'Kostimi i Planit te Veprimit'!S128</f>
        <v>8258887052.2937241</v>
      </c>
      <c r="H7" s="12">
        <f>'Kostimi i Planit te Veprimit'!T128</f>
        <v>16190831.257307881</v>
      </c>
      <c r="I7" s="13">
        <f>SUM(G7:H7)</f>
        <v>8275077883.5510321</v>
      </c>
      <c r="J7" s="12">
        <f>'Kostimi i Planit te Veprimit'!V128</f>
        <v>8258887052.2937241</v>
      </c>
      <c r="K7" s="12">
        <f>'Kostimi i Planit te Veprimit'!W128</f>
        <v>1190831.257307882</v>
      </c>
      <c r="L7" s="13">
        <f>SUM(J7:K7)</f>
        <v>8260077883.5510321</v>
      </c>
      <c r="M7" s="12">
        <f>'Kostimi i Planit te Veprimit'!Y128</f>
        <v>0</v>
      </c>
      <c r="N7" s="12">
        <f>'Kostimi i Planit te Veprimit'!Z128</f>
        <v>0</v>
      </c>
      <c r="O7" s="13">
        <f>SUM(M7:N7)</f>
        <v>0</v>
      </c>
      <c r="P7" s="13">
        <f>'Kostimi i Planit te Veprimit'!AC128</f>
        <v>15000000</v>
      </c>
      <c r="Q7" s="17">
        <f>I7/125</f>
        <v>66200623.068408258</v>
      </c>
    </row>
    <row r="8" spans="2:17" ht="45.75" customHeight="1" thickBot="1" x14ac:dyDescent="0.4">
      <c r="B8" s="57" t="s">
        <v>100</v>
      </c>
      <c r="C8" s="60"/>
      <c r="D8" s="60"/>
      <c r="E8" s="60"/>
      <c r="F8" s="60"/>
      <c r="G8" s="59">
        <f>'Kostimi i Planit te Veprimit'!S129</f>
        <v>12584831948.387466</v>
      </c>
      <c r="H8" s="59">
        <f>'Kostimi i Planit te Veprimit'!T129</f>
        <v>16680633.600690287</v>
      </c>
      <c r="I8" s="59">
        <f>'Kostimi i Planit te Veprimit'!U129</f>
        <v>12601512581.988159</v>
      </c>
      <c r="J8" s="59">
        <f>'Kostimi i Planit te Veprimit'!V129</f>
        <v>12584831948.387466</v>
      </c>
      <c r="K8" s="59">
        <f>'Kostimi i Planit te Veprimit'!W129</f>
        <v>1680633.6006902866</v>
      </c>
      <c r="L8" s="59">
        <f>'Kostimi i Planit te Veprimit'!X129</f>
        <v>12586512581.988159</v>
      </c>
      <c r="M8" s="59">
        <f>'Kostimi i Planit te Veprimit'!Y129</f>
        <v>0</v>
      </c>
      <c r="N8" s="59">
        <f>'Kostimi i Planit te Veprimit'!Z129</f>
        <v>0</v>
      </c>
      <c r="O8" s="59">
        <f>'Kostimi i Planit te Veprimit'!AB129</f>
        <v>0</v>
      </c>
      <c r="P8" s="59">
        <f>'Kostimi i Planit te Veprimit'!AC129</f>
        <v>15000000</v>
      </c>
      <c r="Q8" s="59">
        <f>I8/109</f>
        <v>115610207.17420329</v>
      </c>
    </row>
    <row r="9" spans="2:17" ht="36" customHeight="1" thickBot="1" x14ac:dyDescent="0.4">
      <c r="B9" s="193" t="s">
        <v>119</v>
      </c>
      <c r="C9" s="194"/>
      <c r="D9" s="194"/>
      <c r="E9" s="194"/>
      <c r="F9" s="194"/>
      <c r="G9" s="194"/>
      <c r="H9" s="194"/>
      <c r="I9" s="194"/>
      <c r="J9" s="194"/>
      <c r="K9" s="194"/>
      <c r="L9" s="194"/>
      <c r="M9" s="194"/>
      <c r="N9" s="194"/>
      <c r="O9" s="194"/>
      <c r="P9" s="194"/>
      <c r="Q9" s="195"/>
    </row>
    <row r="10" spans="2:17" ht="51.75" customHeight="1" thickBot="1" x14ac:dyDescent="0.3">
      <c r="B10" s="214" t="s">
        <v>107</v>
      </c>
      <c r="C10" s="202" t="s">
        <v>35</v>
      </c>
      <c r="D10" s="208"/>
      <c r="E10" s="202" t="s">
        <v>40</v>
      </c>
      <c r="F10" s="208"/>
      <c r="G10" s="196" t="s">
        <v>105</v>
      </c>
      <c r="H10" s="197"/>
      <c r="I10" s="198"/>
      <c r="J10" s="202" t="s">
        <v>94</v>
      </c>
      <c r="K10" s="209"/>
      <c r="L10" s="209"/>
      <c r="M10" s="209"/>
      <c r="N10" s="209"/>
      <c r="O10" s="209"/>
      <c r="P10" s="210" t="s">
        <v>103</v>
      </c>
      <c r="Q10" s="190" t="s">
        <v>98</v>
      </c>
    </row>
    <row r="11" spans="2:17" ht="55.5" customHeight="1" thickBot="1" x14ac:dyDescent="0.3">
      <c r="B11" s="215"/>
      <c r="C11" s="190" t="s">
        <v>37</v>
      </c>
      <c r="D11" s="190" t="s">
        <v>38</v>
      </c>
      <c r="E11" s="190" t="s">
        <v>70</v>
      </c>
      <c r="F11" s="190" t="s">
        <v>71</v>
      </c>
      <c r="G11" s="199"/>
      <c r="H11" s="200"/>
      <c r="I11" s="201"/>
      <c r="J11" s="202" t="s">
        <v>102</v>
      </c>
      <c r="K11" s="203"/>
      <c r="L11" s="204"/>
      <c r="M11" s="202" t="s">
        <v>106</v>
      </c>
      <c r="N11" s="205"/>
      <c r="O11" s="205"/>
      <c r="P11" s="211"/>
      <c r="Q11" s="191"/>
    </row>
    <row r="12" spans="2:17" ht="54.75" customHeight="1" thickBot="1" x14ac:dyDescent="0.3">
      <c r="B12" s="216"/>
      <c r="C12" s="212"/>
      <c r="D12" s="212"/>
      <c r="E12" s="212"/>
      <c r="F12" s="212"/>
      <c r="G12" s="9" t="s">
        <v>17</v>
      </c>
      <c r="H12" s="10" t="s">
        <v>18</v>
      </c>
      <c r="I12" s="11" t="s">
        <v>21</v>
      </c>
      <c r="J12" s="9" t="s">
        <v>17</v>
      </c>
      <c r="K12" s="10" t="s">
        <v>18</v>
      </c>
      <c r="L12" s="11" t="s">
        <v>19</v>
      </c>
      <c r="M12" s="9" t="s">
        <v>17</v>
      </c>
      <c r="N12" s="10" t="s">
        <v>18</v>
      </c>
      <c r="O12" s="11" t="s">
        <v>20</v>
      </c>
      <c r="P12" s="11"/>
      <c r="Q12" s="15"/>
    </row>
    <row r="13" spans="2:17" ht="141" customHeight="1" x14ac:dyDescent="0.25">
      <c r="B13" s="72" t="s">
        <v>47</v>
      </c>
      <c r="C13" s="73" t="s">
        <v>135</v>
      </c>
      <c r="D13" s="73" t="s">
        <v>136</v>
      </c>
      <c r="E13" s="3">
        <v>2021</v>
      </c>
      <c r="F13" s="3">
        <v>2026</v>
      </c>
      <c r="G13" s="12">
        <f>'Kostimi i Planit te Veprimit'!S159</f>
        <v>847186160.50000012</v>
      </c>
      <c r="H13" s="12">
        <f>'Kostimi i Planit te Veprimit'!T159</f>
        <v>23358104.999999996</v>
      </c>
      <c r="I13" s="13">
        <f>SUM(G13:H13)</f>
        <v>870544265.50000012</v>
      </c>
      <c r="J13" s="12">
        <f>'Kostimi i Planit te Veprimit'!V159</f>
        <v>847186160.50000012</v>
      </c>
      <c r="K13" s="12">
        <f>'Kostimi i Planit te Veprimit'!W159</f>
        <v>23358104.999999996</v>
      </c>
      <c r="L13" s="13">
        <f>'Kostimi i Planit te Veprimit'!X159</f>
        <v>870544265.5</v>
      </c>
      <c r="M13" s="12">
        <f>'Kostimi i Planit te Veprimit'!Y159</f>
        <v>0</v>
      </c>
      <c r="N13" s="12">
        <f>'Kostimi i Planit te Veprimit'!Z159</f>
        <v>0</v>
      </c>
      <c r="O13" s="13">
        <f>'Kostimi i Planit te Veprimit'!AB159</f>
        <v>0</v>
      </c>
      <c r="P13" s="13">
        <f>'Kostimi i Planit te Veprimit'!AC159</f>
        <v>0</v>
      </c>
      <c r="Q13" s="56"/>
    </row>
    <row r="14" spans="2:17" ht="141" customHeight="1" x14ac:dyDescent="0.25">
      <c r="B14" s="72" t="s">
        <v>123</v>
      </c>
      <c r="C14" s="74" t="s">
        <v>137</v>
      </c>
      <c r="D14" s="75" t="s">
        <v>138</v>
      </c>
      <c r="E14" s="3">
        <v>2021</v>
      </c>
      <c r="F14" s="3">
        <v>2026</v>
      </c>
      <c r="G14" s="12">
        <f>'Kostimi i Planit te Veprimit'!S188</f>
        <v>570751804.27272725</v>
      </c>
      <c r="H14" s="12">
        <f>'Kostimi i Planit te Veprimit'!T188</f>
        <v>0</v>
      </c>
      <c r="I14" s="13">
        <f>SUM(G14:H14)</f>
        <v>570751804.27272725</v>
      </c>
      <c r="J14" s="12">
        <f>'Kostimi i Planit te Veprimit'!V188</f>
        <v>570751804.27272725</v>
      </c>
      <c r="K14" s="12">
        <f>'Kostimi i Planit te Veprimit'!W188</f>
        <v>0</v>
      </c>
      <c r="L14" s="13">
        <f>'Kostimi i Planit te Veprimit'!X188</f>
        <v>570751804.27272725</v>
      </c>
      <c r="M14" s="12">
        <f>'Kostimi i Planit te Veprimit'!Y188</f>
        <v>0</v>
      </c>
      <c r="N14" s="12">
        <f>'Kostimi i Planit te Veprimit'!Z188</f>
        <v>0</v>
      </c>
      <c r="O14" s="13">
        <f>'Kostimi i Planit te Veprimit'!AB188</f>
        <v>0</v>
      </c>
      <c r="P14" s="13">
        <f>'Kostimi i Planit te Veprimit'!AC188</f>
        <v>0</v>
      </c>
      <c r="Q14" s="56"/>
    </row>
    <row r="15" spans="2:17" ht="63" customHeight="1" x14ac:dyDescent="0.25">
      <c r="B15" s="41" t="s">
        <v>124</v>
      </c>
      <c r="C15" s="76" t="s">
        <v>139</v>
      </c>
      <c r="D15" s="75" t="s">
        <v>140</v>
      </c>
      <c r="E15" s="3">
        <v>2021</v>
      </c>
      <c r="F15" s="3">
        <v>2026</v>
      </c>
      <c r="G15" s="12">
        <f>'Kostimi i Planit te Veprimit'!S193</f>
        <v>6600000</v>
      </c>
      <c r="H15" s="12">
        <f>'Kostimi i Planit te Veprimit'!T193</f>
        <v>0</v>
      </c>
      <c r="I15" s="13">
        <f>SUM(G15:H15)</f>
        <v>6600000</v>
      </c>
      <c r="J15" s="12">
        <f>'Kostimi i Planit te Veprimit'!V193</f>
        <v>6600000</v>
      </c>
      <c r="K15" s="12">
        <f>'Kostimi i Planit te Veprimit'!W193</f>
        <v>0</v>
      </c>
      <c r="L15" s="13">
        <f>'Kostimi i Planit te Veprimit'!X193</f>
        <v>6600000</v>
      </c>
      <c r="M15" s="12">
        <f>'Kostimi i Planit te Veprimit'!Y193</f>
        <v>0</v>
      </c>
      <c r="N15" s="12">
        <f>'Kostimi i Planit te Veprimit'!Z193</f>
        <v>0</v>
      </c>
      <c r="O15" s="13">
        <f>'Kostimi i Planit te Veprimit'!AB193</f>
        <v>0</v>
      </c>
      <c r="P15" s="13">
        <f>'Kostimi i Planit te Veprimit'!AC193</f>
        <v>0</v>
      </c>
      <c r="Q15" s="56">
        <f>I15/125</f>
        <v>52800</v>
      </c>
    </row>
    <row r="16" spans="2:17" ht="63" customHeight="1" thickBot="1" x14ac:dyDescent="0.4">
      <c r="B16" s="57" t="s">
        <v>99</v>
      </c>
      <c r="C16" s="58"/>
      <c r="D16" s="58"/>
      <c r="E16" s="58"/>
      <c r="F16" s="58"/>
      <c r="G16" s="59">
        <f>'Kostimi i Planit te Veprimit'!S194</f>
        <v>1424537964.7727275</v>
      </c>
      <c r="H16" s="59">
        <f>'Kostimi i Planit te Veprimit'!T194</f>
        <v>23358104.999999996</v>
      </c>
      <c r="I16" s="59">
        <f>'Kostimi i Planit te Veprimit'!U194</f>
        <v>1447896069.7727273</v>
      </c>
      <c r="J16" s="59">
        <f>'Kostimi i Planit te Veprimit'!V194</f>
        <v>1424537964.7727275</v>
      </c>
      <c r="K16" s="59">
        <f>'Kostimi i Planit te Veprimit'!W194</f>
        <v>23358104.999999996</v>
      </c>
      <c r="L16" s="59">
        <f>'Kostimi i Planit te Veprimit'!X194</f>
        <v>1447896069.7727273</v>
      </c>
      <c r="M16" s="59">
        <f>'Kostimi i Planit te Veprimit'!Y194</f>
        <v>0</v>
      </c>
      <c r="N16" s="59">
        <f>'Kostimi i Planit te Veprimit'!Z194</f>
        <v>0</v>
      </c>
      <c r="O16" s="59">
        <f>'Kostimi i Planit te Veprimit'!AB194</f>
        <v>0</v>
      </c>
      <c r="P16" s="59">
        <f>'Kostimi i Planit te Veprimit'!AC194</f>
        <v>0</v>
      </c>
      <c r="Q16" s="59">
        <f>L16/109</f>
        <v>13283450.181401167</v>
      </c>
    </row>
    <row r="17" spans="2:19" ht="63" customHeight="1" thickBot="1" x14ac:dyDescent="0.4">
      <c r="B17" s="193" t="s">
        <v>147</v>
      </c>
      <c r="C17" s="194"/>
      <c r="D17" s="194"/>
      <c r="E17" s="194"/>
      <c r="F17" s="194"/>
      <c r="G17" s="194"/>
      <c r="H17" s="194"/>
      <c r="I17" s="194"/>
      <c r="J17" s="194"/>
      <c r="K17" s="194"/>
      <c r="L17" s="194"/>
      <c r="M17" s="194"/>
      <c r="N17" s="194"/>
      <c r="O17" s="194"/>
      <c r="P17" s="194"/>
      <c r="Q17" s="195"/>
    </row>
    <row r="18" spans="2:19" ht="63" customHeight="1" thickBot="1" x14ac:dyDescent="0.3">
      <c r="B18" s="206" t="s">
        <v>107</v>
      </c>
      <c r="C18" s="202" t="s">
        <v>35</v>
      </c>
      <c r="D18" s="208"/>
      <c r="E18" s="202" t="s">
        <v>40</v>
      </c>
      <c r="F18" s="208"/>
      <c r="G18" s="196" t="s">
        <v>105</v>
      </c>
      <c r="H18" s="197"/>
      <c r="I18" s="198"/>
      <c r="J18" s="202" t="s">
        <v>94</v>
      </c>
      <c r="K18" s="209"/>
      <c r="L18" s="209"/>
      <c r="M18" s="209"/>
      <c r="N18" s="209"/>
      <c r="O18" s="209"/>
      <c r="P18" s="210" t="s">
        <v>103</v>
      </c>
      <c r="Q18" s="190" t="s">
        <v>646</v>
      </c>
    </row>
    <row r="19" spans="2:19" ht="63" customHeight="1" thickBot="1" x14ac:dyDescent="0.3">
      <c r="B19" s="207"/>
      <c r="C19" s="190" t="s">
        <v>37</v>
      </c>
      <c r="D19" s="190" t="s">
        <v>38</v>
      </c>
      <c r="E19" s="190" t="s">
        <v>70</v>
      </c>
      <c r="F19" s="190" t="s">
        <v>71</v>
      </c>
      <c r="G19" s="199"/>
      <c r="H19" s="200"/>
      <c r="I19" s="201"/>
      <c r="J19" s="202" t="s">
        <v>102</v>
      </c>
      <c r="K19" s="203"/>
      <c r="L19" s="204"/>
      <c r="M19" s="202" t="s">
        <v>106</v>
      </c>
      <c r="N19" s="205"/>
      <c r="O19" s="205"/>
      <c r="P19" s="211"/>
      <c r="Q19" s="191"/>
    </row>
    <row r="20" spans="2:19" ht="40.5" customHeight="1" thickBot="1" x14ac:dyDescent="0.3">
      <c r="B20" s="5"/>
      <c r="C20" s="212"/>
      <c r="D20" s="212"/>
      <c r="E20" s="212"/>
      <c r="F20" s="212"/>
      <c r="G20" s="9" t="s">
        <v>17</v>
      </c>
      <c r="H20" s="10" t="s">
        <v>18</v>
      </c>
      <c r="I20" s="11" t="s">
        <v>21</v>
      </c>
      <c r="J20" s="9" t="s">
        <v>17</v>
      </c>
      <c r="K20" s="10" t="s">
        <v>18</v>
      </c>
      <c r="L20" s="11" t="s">
        <v>19</v>
      </c>
      <c r="M20" s="9" t="s">
        <v>17</v>
      </c>
      <c r="N20" s="10" t="s">
        <v>18</v>
      </c>
      <c r="O20" s="11" t="s">
        <v>20</v>
      </c>
      <c r="P20" s="11"/>
      <c r="Q20" s="192"/>
    </row>
    <row r="21" spans="2:19" ht="99" customHeight="1" x14ac:dyDescent="0.25">
      <c r="B21" s="41" t="s">
        <v>125</v>
      </c>
      <c r="C21" s="2" t="s">
        <v>141</v>
      </c>
      <c r="D21" s="77" t="s">
        <v>142</v>
      </c>
      <c r="E21" s="3">
        <v>2020</v>
      </c>
      <c r="F21" s="3">
        <v>2030</v>
      </c>
      <c r="G21" s="12">
        <f>'Kostimi i Planit te Veprimit'!S213</f>
        <v>276298833.63636363</v>
      </c>
      <c r="H21" s="12">
        <f>'Kostimi i Planit te Veprimit'!T213</f>
        <v>0</v>
      </c>
      <c r="I21" s="13">
        <f>SUM(G21:H21)</f>
        <v>276298833.63636363</v>
      </c>
      <c r="J21" s="12">
        <f>'Kostimi i Planit te Veprimit'!V213</f>
        <v>276298833.63636363</v>
      </c>
      <c r="K21" s="12">
        <f>'Kostimi i Planit te Veprimit'!W213</f>
        <v>0</v>
      </c>
      <c r="L21" s="13">
        <f>SUM(J21:K21)</f>
        <v>276298833.63636363</v>
      </c>
      <c r="M21" s="12">
        <f>'Kostimi i Planit te Veprimit'!Y213</f>
        <v>0</v>
      </c>
      <c r="N21" s="12">
        <f>'Kostimi i Planit te Veprimit'!Z213</f>
        <v>0</v>
      </c>
      <c r="O21" s="13">
        <f>'Kostimi i Planit te Veprimit'!AB213</f>
        <v>0</v>
      </c>
      <c r="P21" s="13">
        <f>'Kostimi i Planit te Veprimit'!AC213</f>
        <v>0</v>
      </c>
      <c r="Q21" s="17">
        <f>I21/125</f>
        <v>2210390.669090909</v>
      </c>
    </row>
    <row r="22" spans="2:19" ht="60.75" customHeight="1" x14ac:dyDescent="0.25">
      <c r="B22" s="41" t="s">
        <v>126</v>
      </c>
      <c r="C22" s="78" t="s">
        <v>143</v>
      </c>
      <c r="D22" s="79" t="s">
        <v>144</v>
      </c>
      <c r="E22" s="3">
        <v>2020</v>
      </c>
      <c r="F22" s="3">
        <v>2030</v>
      </c>
      <c r="G22" s="12">
        <f>'Kostimi i Planit te Veprimit'!S221</f>
        <v>44632140</v>
      </c>
      <c r="H22" s="12">
        <f>'Kostimi i Planit te Veprimit'!T221</f>
        <v>209096316</v>
      </c>
      <c r="I22" s="13">
        <f>SUM(G22:H22)</f>
        <v>253728456</v>
      </c>
      <c r="J22" s="12">
        <f>'Kostimi i Planit te Veprimit'!V221</f>
        <v>44632140</v>
      </c>
      <c r="K22" s="12">
        <f>'Kostimi i Planit te Veprimit'!W221</f>
        <v>0</v>
      </c>
      <c r="L22" s="13">
        <f>SUM(J22:K22)</f>
        <v>44632140</v>
      </c>
      <c r="M22" s="12">
        <f>'Kostimi i Planit te Veprimit'!Y221</f>
        <v>0</v>
      </c>
      <c r="N22" s="12">
        <f>'Kostimi i Planit te Veprimit'!Z221</f>
        <v>209096316</v>
      </c>
      <c r="O22" s="13">
        <f>'Kostimi i Planit te Veprimit'!AB221</f>
        <v>209096316</v>
      </c>
      <c r="P22" s="13">
        <f>'Kostimi i Planit te Veprimit'!AC221</f>
        <v>0</v>
      </c>
      <c r="Q22" s="17">
        <f>I22/125</f>
        <v>2029827.648</v>
      </c>
    </row>
    <row r="23" spans="2:19" s="51" customFormat="1" ht="63.75" customHeight="1" thickBot="1" x14ac:dyDescent="0.4">
      <c r="B23" s="57" t="s">
        <v>101</v>
      </c>
      <c r="C23" s="48"/>
      <c r="D23" s="48"/>
      <c r="E23" s="48"/>
      <c r="F23" s="48"/>
      <c r="G23" s="49">
        <f>'Kostimi i Planit te Veprimit'!S222</f>
        <v>320930973.63636363</v>
      </c>
      <c r="H23" s="49">
        <f>'Kostimi i Planit te Veprimit'!T222</f>
        <v>209096316</v>
      </c>
      <c r="I23" s="49">
        <f>'Kostimi i Planit te Veprimit'!U222</f>
        <v>530027289.63636363</v>
      </c>
      <c r="J23" s="49">
        <f>'Kostimi i Planit te Veprimit'!V222</f>
        <v>320930973.63636363</v>
      </c>
      <c r="K23" s="49">
        <f>'Kostimi i Planit te Veprimit'!W222</f>
        <v>0</v>
      </c>
      <c r="L23" s="49">
        <f>'Kostimi i Planit te Veprimit'!X222</f>
        <v>320930973.63636363</v>
      </c>
      <c r="M23" s="49">
        <f>'Kostimi i Planit te Veprimit'!Y222</f>
        <v>0</v>
      </c>
      <c r="N23" s="49">
        <f>'Kostimi i Planit te Veprimit'!Z222</f>
        <v>209096316</v>
      </c>
      <c r="O23" s="49">
        <f>'Kostimi i Planit te Veprimit'!AB222</f>
        <v>209096316</v>
      </c>
      <c r="P23" s="49">
        <f>'Kostimi i Planit te Veprimit'!AC222</f>
        <v>0</v>
      </c>
      <c r="Q23" s="55">
        <f>I23/109</f>
        <v>4862635.6847372809</v>
      </c>
      <c r="R23" s="50"/>
      <c r="S23" s="50"/>
    </row>
    <row r="24" spans="2:19" s="54" customFormat="1" ht="60.75" customHeight="1" thickBot="1" x14ac:dyDescent="0.4">
      <c r="B24" s="52" t="s">
        <v>108</v>
      </c>
      <c r="C24" s="19"/>
      <c r="D24" s="19"/>
      <c r="E24" s="19"/>
      <c r="F24" s="19"/>
      <c r="G24" s="20">
        <f>G8+G16+G23</f>
        <v>14330300886.796558</v>
      </c>
      <c r="H24" s="20">
        <f t="shared" ref="H24:P24" si="1">H8+H16+H23</f>
        <v>249135054.60069028</v>
      </c>
      <c r="I24" s="20">
        <f>I8+I16+I23</f>
        <v>14579435941.397251</v>
      </c>
      <c r="J24" s="20">
        <f t="shared" si="1"/>
        <v>14330300886.796558</v>
      </c>
      <c r="K24" s="20">
        <f t="shared" si="1"/>
        <v>25038738.600690283</v>
      </c>
      <c r="L24" s="20">
        <f t="shared" si="1"/>
        <v>14355339625.397251</v>
      </c>
      <c r="M24" s="20">
        <f t="shared" si="1"/>
        <v>0</v>
      </c>
      <c r="N24" s="20">
        <f t="shared" si="1"/>
        <v>209096316</v>
      </c>
      <c r="O24" s="20">
        <f>O8+O16+O23</f>
        <v>209096316</v>
      </c>
      <c r="P24" s="20">
        <f t="shared" si="1"/>
        <v>15000000</v>
      </c>
      <c r="Q24" s="20">
        <f>Q8+Q16+Q23</f>
        <v>133756293.04034173</v>
      </c>
      <c r="R24" s="53"/>
      <c r="S24" s="53"/>
    </row>
    <row r="25" spans="2:19" ht="42.75" customHeight="1" x14ac:dyDescent="0.25">
      <c r="G25" s="142">
        <f>'Kostimi i Planit te Veprimit'!S223</f>
        <v>14330300886.796558</v>
      </c>
      <c r="H25" s="142">
        <f>'Kostimi i Planit te Veprimit'!T223</f>
        <v>249135054.60069028</v>
      </c>
      <c r="I25" s="142">
        <f>'Kostimi i Planit te Veprimit'!U223</f>
        <v>14579435941.397251</v>
      </c>
      <c r="J25" s="142">
        <f>'Kostimi i Planit te Veprimit'!V223</f>
        <v>14330300886.796558</v>
      </c>
      <c r="K25" s="142">
        <f>'Kostimi i Planit te Veprimit'!W223</f>
        <v>25038738.600690283</v>
      </c>
      <c r="L25" s="142">
        <f>'Kostimi i Planit te Veprimit'!X223</f>
        <v>14355339625.397251</v>
      </c>
      <c r="M25" s="142">
        <f>'Kostimi i Planit te Veprimit'!Y223</f>
        <v>0</v>
      </c>
      <c r="N25" s="142">
        <f>'Kostimi i Planit te Veprimit'!Z223</f>
        <v>209096316</v>
      </c>
      <c r="O25" s="142">
        <f>'Kostimi i Planit te Veprimit'!AB223</f>
        <v>209096316</v>
      </c>
      <c r="P25" s="142">
        <f>'Kostimi i Planit te Veprimit'!AC223</f>
        <v>15000000</v>
      </c>
      <c r="Q25" s="142">
        <f>I25-L25-O25-P25</f>
        <v>0</v>
      </c>
    </row>
    <row r="30" spans="2:19" ht="43.5" customHeight="1" x14ac:dyDescent="0.25">
      <c r="G30" s="64" t="s">
        <v>109</v>
      </c>
      <c r="H30" s="64">
        <f>I24</f>
        <v>14579435941.397251</v>
      </c>
    </row>
    <row r="31" spans="2:19" ht="43.5" customHeight="1" x14ac:dyDescent="0.25">
      <c r="G31" s="64" t="s">
        <v>608</v>
      </c>
      <c r="H31" s="64">
        <f>L24</f>
        <v>14355339625.397251</v>
      </c>
      <c r="J31" s="61"/>
      <c r="K31" s="61" t="s">
        <v>28</v>
      </c>
      <c r="L31" s="61" t="s">
        <v>29</v>
      </c>
      <c r="M31" s="61" t="s">
        <v>117</v>
      </c>
    </row>
    <row r="32" spans="2:19" ht="43.5" customHeight="1" x14ac:dyDescent="0.25">
      <c r="G32" s="64" t="s">
        <v>110</v>
      </c>
      <c r="H32" s="64">
        <f>O24</f>
        <v>209096316</v>
      </c>
      <c r="J32" s="61" t="s">
        <v>25</v>
      </c>
      <c r="K32" s="61">
        <f>G8</f>
        <v>12584831948.387466</v>
      </c>
      <c r="L32" s="61">
        <f>H8</f>
        <v>16680633.600690287</v>
      </c>
      <c r="M32" s="61">
        <f>K32+L32</f>
        <v>12601512581.988157</v>
      </c>
    </row>
    <row r="33" spans="7:19" ht="43.5" customHeight="1" x14ac:dyDescent="0.25">
      <c r="G33" s="64" t="s">
        <v>609</v>
      </c>
      <c r="H33" s="64">
        <f>H30-H31-H32</f>
        <v>15000000</v>
      </c>
      <c r="I33" s="18"/>
      <c r="J33" s="61" t="s">
        <v>26</v>
      </c>
      <c r="K33" s="61">
        <f>G16</f>
        <v>1424537964.7727275</v>
      </c>
      <c r="L33" s="61">
        <f>H16</f>
        <v>23358104.999999996</v>
      </c>
      <c r="M33" s="61">
        <f t="shared" ref="M33:M34" si="2">K33+L33</f>
        <v>1447896069.7727275</v>
      </c>
    </row>
    <row r="34" spans="7:19" ht="49.5" customHeight="1" x14ac:dyDescent="0.25">
      <c r="G34" s="64"/>
      <c r="H34" s="64"/>
      <c r="I34" s="18"/>
      <c r="J34" s="61" t="s">
        <v>27</v>
      </c>
      <c r="K34" s="61">
        <f>G23</f>
        <v>320930973.63636363</v>
      </c>
      <c r="L34" s="61">
        <f>H23</f>
        <v>209096316</v>
      </c>
      <c r="M34" s="61">
        <f t="shared" si="2"/>
        <v>530027289.63636363</v>
      </c>
    </row>
    <row r="35" spans="7:19" ht="43.5" customHeight="1" x14ac:dyDescent="0.25">
      <c r="I35" s="18"/>
      <c r="N35"/>
      <c r="O35" s="22"/>
      <c r="P35" s="22"/>
      <c r="Q35"/>
      <c r="R35"/>
      <c r="S35"/>
    </row>
    <row r="36" spans="7:19" ht="43.5" customHeight="1" x14ac:dyDescent="0.25"/>
    <row r="37" spans="7:19" ht="43.5" customHeight="1" x14ac:dyDescent="0.25">
      <c r="G37" s="62" t="s">
        <v>22</v>
      </c>
      <c r="H37" s="62">
        <f>G24</f>
        <v>14330300886.796558</v>
      </c>
      <c r="I37" s="18"/>
    </row>
    <row r="38" spans="7:19" ht="43.5" customHeight="1" x14ac:dyDescent="0.25">
      <c r="G38" s="62" t="s">
        <v>23</v>
      </c>
      <c r="H38" s="62">
        <f>H24</f>
        <v>249135054.60069028</v>
      </c>
      <c r="I38" s="18"/>
    </row>
    <row r="39" spans="7:19" ht="43.5" customHeight="1" x14ac:dyDescent="0.25">
      <c r="G39" s="62" t="s">
        <v>24</v>
      </c>
      <c r="H39" s="62">
        <f>I24</f>
        <v>14579435941.397251</v>
      </c>
    </row>
    <row r="40" spans="7:19" ht="43.5" customHeight="1" x14ac:dyDescent="0.25">
      <c r="J40" s="63"/>
    </row>
    <row r="41" spans="7:19" ht="32.25" customHeight="1" x14ac:dyDescent="0.25"/>
  </sheetData>
  <sheetProtection selectLockedCells="1" selectUnlockedCells="1"/>
  <mergeCells count="42">
    <mergeCell ref="B2:B4"/>
    <mergeCell ref="B9:Q9"/>
    <mergeCell ref="C10:D10"/>
    <mergeCell ref="E10:F10"/>
    <mergeCell ref="J10:O10"/>
    <mergeCell ref="P10:P11"/>
    <mergeCell ref="J11:L11"/>
    <mergeCell ref="M11:O11"/>
    <mergeCell ref="G10:I11"/>
    <mergeCell ref="C11:C12"/>
    <mergeCell ref="D11:D12"/>
    <mergeCell ref="E11:E12"/>
    <mergeCell ref="F11:F12"/>
    <mergeCell ref="B10:B12"/>
    <mergeCell ref="C3:C4"/>
    <mergeCell ref="D3:D4"/>
    <mergeCell ref="E3:E4"/>
    <mergeCell ref="F3:F4"/>
    <mergeCell ref="C2:D2"/>
    <mergeCell ref="E2:F2"/>
    <mergeCell ref="J2:O2"/>
    <mergeCell ref="F19:F20"/>
    <mergeCell ref="P2:P3"/>
    <mergeCell ref="J3:L3"/>
    <mergeCell ref="M3:O3"/>
    <mergeCell ref="G2:I3"/>
    <mergeCell ref="Q18:Q20"/>
    <mergeCell ref="B1:Q1"/>
    <mergeCell ref="Q2:Q3"/>
    <mergeCell ref="Q10:Q11"/>
    <mergeCell ref="G18:I19"/>
    <mergeCell ref="J19:L19"/>
    <mergeCell ref="M19:O19"/>
    <mergeCell ref="B17:Q17"/>
    <mergeCell ref="B18:B19"/>
    <mergeCell ref="C18:D18"/>
    <mergeCell ref="E18:F18"/>
    <mergeCell ref="J18:O18"/>
    <mergeCell ref="P18:P19"/>
    <mergeCell ref="C19:C20"/>
    <mergeCell ref="D19:D20"/>
    <mergeCell ref="E19:E20"/>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15"/>
  <sheetViews>
    <sheetView workbookViewId="0">
      <selection activeCell="C28" sqref="C28"/>
    </sheetView>
  </sheetViews>
  <sheetFormatPr defaultRowHeight="15" x14ac:dyDescent="0.25"/>
  <cols>
    <col min="1" max="1" width="28.140625" customWidth="1"/>
    <col min="2" max="2" width="14.85546875" customWidth="1"/>
    <col min="3" max="3" width="15.140625" customWidth="1"/>
    <col min="4" max="4" width="20.5703125" customWidth="1"/>
    <col min="5" max="5" width="18" customWidth="1"/>
    <col min="6" max="6" width="27.140625" customWidth="1"/>
  </cols>
  <sheetData>
    <row r="1" spans="1:6" ht="15.75" thickBot="1" x14ac:dyDescent="0.3">
      <c r="A1" s="225" t="s">
        <v>118</v>
      </c>
      <c r="B1" s="225"/>
      <c r="C1" s="225"/>
      <c r="D1" s="225"/>
      <c r="E1" s="225"/>
    </row>
    <row r="2" spans="1:6" x14ac:dyDescent="0.25">
      <c r="A2" s="226" t="s">
        <v>111</v>
      </c>
      <c r="B2" s="229" t="s">
        <v>112</v>
      </c>
      <c r="C2" s="40" t="s">
        <v>113</v>
      </c>
      <c r="D2" s="40" t="s">
        <v>114</v>
      </c>
      <c r="E2" s="34" t="s">
        <v>115</v>
      </c>
    </row>
    <row r="3" spans="1:6" x14ac:dyDescent="0.25">
      <c r="A3" s="227"/>
      <c r="B3" s="230"/>
      <c r="C3" s="35" t="s">
        <v>611</v>
      </c>
      <c r="D3" s="35" t="s">
        <v>610</v>
      </c>
      <c r="E3" s="36" t="s">
        <v>611</v>
      </c>
    </row>
    <row r="4" spans="1:6" ht="15.75" thickBot="1" x14ac:dyDescent="0.3">
      <c r="A4" s="228"/>
      <c r="B4" s="231"/>
      <c r="C4" s="25"/>
      <c r="D4" s="26" t="s">
        <v>30</v>
      </c>
      <c r="E4" s="37"/>
    </row>
    <row r="5" spans="1:6" ht="19.5" customHeight="1" thickBot="1" x14ac:dyDescent="0.3">
      <c r="A5" s="232" t="s">
        <v>128</v>
      </c>
      <c r="B5" s="27" t="s">
        <v>17</v>
      </c>
      <c r="C5" s="28">
        <f>'Totali i Qellimeve te Politikav'!G8</f>
        <v>12584831948.387466</v>
      </c>
      <c r="D5" s="28">
        <f>'Totali i Qellimeve te Politikav'!J8+'Totali i Qellimeve te Politikav'!M8</f>
        <v>12584831948.387466</v>
      </c>
      <c r="E5" s="223">
        <f>(C5+C6)-(D5+D6)</f>
        <v>15000000</v>
      </c>
    </row>
    <row r="6" spans="1:6" ht="24" customHeight="1" thickBot="1" x14ac:dyDescent="0.3">
      <c r="A6" s="218"/>
      <c r="B6" s="29" t="s">
        <v>18</v>
      </c>
      <c r="C6" s="30">
        <f>'Totali i Qellimeve te Politikav'!H8</f>
        <v>16680633.600690287</v>
      </c>
      <c r="D6" s="30">
        <f>'Totali i Qellimeve te Politikav'!K8+'Totali i Qellimeve te Politikav'!N8</f>
        <v>1680633.6006902866</v>
      </c>
      <c r="E6" s="224"/>
    </row>
    <row r="7" spans="1:6" ht="15.75" thickBot="1" x14ac:dyDescent="0.3">
      <c r="A7" s="217" t="s">
        <v>129</v>
      </c>
      <c r="B7" s="27" t="s">
        <v>17</v>
      </c>
      <c r="C7" s="28">
        <f>'Totali i Qellimeve te Politikav'!G16</f>
        <v>1424537964.7727275</v>
      </c>
      <c r="D7" s="28">
        <f>'Totali i Qellimeve te Politikav'!J16+'Totali i Qellimeve te Politikav'!M16</f>
        <v>1424537964.7727275</v>
      </c>
      <c r="E7" s="223">
        <f>(C7+C8)-(D7+D8)</f>
        <v>0</v>
      </c>
      <c r="F7" s="22"/>
    </row>
    <row r="8" spans="1:6" ht="21.75" customHeight="1" thickBot="1" x14ac:dyDescent="0.3">
      <c r="A8" s="218"/>
      <c r="B8" s="29" t="s">
        <v>18</v>
      </c>
      <c r="C8" s="30">
        <f>'Totali i Qellimeve te Politikav'!H16</f>
        <v>23358104.999999996</v>
      </c>
      <c r="D8" s="30">
        <f>'Totali i Qellimeve te Politikav'!K16+'Totali i Qellimeve te Politikav'!N16</f>
        <v>23358104.999999996</v>
      </c>
      <c r="E8" s="224"/>
    </row>
    <row r="9" spans="1:6" ht="23.25" customHeight="1" thickBot="1" x14ac:dyDescent="0.3">
      <c r="A9" s="217" t="s">
        <v>145</v>
      </c>
      <c r="B9" s="27" t="s">
        <v>17</v>
      </c>
      <c r="C9" s="28">
        <f>'Totali i Qellimeve te Politikav'!G23</f>
        <v>320930973.63636363</v>
      </c>
      <c r="D9" s="28">
        <f>'Totali i Qellimeve te Politikav'!J23+'Totali i Qellimeve te Politikav'!M23</f>
        <v>320930973.63636363</v>
      </c>
      <c r="E9" s="223">
        <f>(C9+C10)-(D9+D10)</f>
        <v>0</v>
      </c>
      <c r="F9" s="33"/>
    </row>
    <row r="10" spans="1:6" ht="30.75" customHeight="1" thickBot="1" x14ac:dyDescent="0.3">
      <c r="A10" s="218"/>
      <c r="B10" s="29" t="s">
        <v>18</v>
      </c>
      <c r="C10" s="30">
        <f>'Totali i Qellimeve te Politikav'!H23</f>
        <v>209096316</v>
      </c>
      <c r="D10" s="30">
        <f>'Totali i Qellimeve te Politikav'!K23+'Totali i Qellimeve te Politikav'!N23</f>
        <v>209096316</v>
      </c>
      <c r="E10" s="224"/>
    </row>
    <row r="11" spans="1:6" ht="25.5" customHeight="1" thickBot="1" x14ac:dyDescent="0.3">
      <c r="A11" s="84" t="s">
        <v>31</v>
      </c>
      <c r="B11" s="31"/>
      <c r="C11" s="32">
        <f>SUM(C5:C10)</f>
        <v>14579435941.397249</v>
      </c>
      <c r="D11" s="32">
        <f>SUM(D5:D10)</f>
        <v>14564435941.397249</v>
      </c>
      <c r="E11" s="65">
        <f>SUM(E5:E10)</f>
        <v>15000000</v>
      </c>
    </row>
    <row r="12" spans="1:6" ht="21.75" customHeight="1" x14ac:dyDescent="0.25">
      <c r="A12" s="85" t="s">
        <v>32</v>
      </c>
      <c r="B12" s="219"/>
      <c r="C12" s="221">
        <f>C11/109</f>
        <v>133756293.04034173</v>
      </c>
      <c r="D12" s="221">
        <f>D11/109</f>
        <v>133618678.36144266</v>
      </c>
      <c r="E12" s="221">
        <f>E11/109</f>
        <v>137614.67889908256</v>
      </c>
    </row>
    <row r="13" spans="1:6" ht="15.75" thickBot="1" x14ac:dyDescent="0.3">
      <c r="A13" s="38" t="s">
        <v>612</v>
      </c>
      <c r="B13" s="220"/>
      <c r="C13" s="222"/>
      <c r="D13" s="222"/>
      <c r="E13" s="222"/>
    </row>
    <row r="15" spans="1:6" x14ac:dyDescent="0.25">
      <c r="D15" s="22"/>
      <c r="E15" s="69"/>
    </row>
  </sheetData>
  <mergeCells count="13">
    <mergeCell ref="A1:E1"/>
    <mergeCell ref="E7:E8"/>
    <mergeCell ref="A2:A4"/>
    <mergeCell ref="B2:B4"/>
    <mergeCell ref="A5:A6"/>
    <mergeCell ref="E5:E6"/>
    <mergeCell ref="A7:A8"/>
    <mergeCell ref="A9:A10"/>
    <mergeCell ref="B12:B13"/>
    <mergeCell ref="C12:C13"/>
    <mergeCell ref="D12:D13"/>
    <mergeCell ref="E12:E13"/>
    <mergeCell ref="E9: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te Veprimit</vt:lpstr>
      <vt:lpstr>Totali i Qellimeve te Politikav</vt:lpstr>
      <vt:lpstr>Nevojat kapitale</vt:lpstr>
      <vt:lpstr>Grafiku i kostove</vt:lpstr>
      <vt:lpstr>Ndarja e kostove</vt:lpstr>
      <vt:lpstr>Kosto per Qellimet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Margarita Vogli</cp:lastModifiedBy>
  <cp:lastPrinted>2019-02-26T15:36:06Z</cp:lastPrinted>
  <dcterms:created xsi:type="dcterms:W3CDTF">2019-02-21T16:54:35Z</dcterms:created>
  <dcterms:modified xsi:type="dcterms:W3CDTF">2024-07-05T16:00:29Z</dcterms:modified>
</cp:coreProperties>
</file>